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amen\Desktop\отчет 2021 -2022жж\Тарификация на сентябрь 2021 г Алия\"/>
    </mc:Choice>
  </mc:AlternateContent>
  <xr:revisionPtr revIDLastSave="0" documentId="13_ncr:1_{C2A442EB-7E44-4B55-B651-1498FC655EA4}" xr6:coauthVersionLast="47" xr6:coauthVersionMax="47" xr10:uidLastSave="{00000000-0000-0000-0000-000000000000}"/>
  <bookViews>
    <workbookView xWindow="690" yWindow="480" windowWidth="19800" windowHeight="10440" firstSheet="4" activeTab="4" xr2:uid="{00000000-000D-0000-FFFF-FFFF00000000}"/>
  </bookViews>
  <sheets>
    <sheet name="Тсш дежурн" sheetId="83" r:id="rId1"/>
    <sheet name="сводная дежурн" sheetId="82" r:id="rId2"/>
    <sheet name="ЛСШ 1 дежурн" sheetId="81" r:id="rId3"/>
    <sheet name="бестерек  дежурный" sheetId="80" r:id="rId4"/>
    <sheet name="Алкатерек" sheetId="62" r:id="rId5"/>
  </sheets>
  <definedNames>
    <definedName name="_xlnm.Print_Area" localSheetId="4">Алкатерек!$A$1:$BA$86</definedName>
    <definedName name="_xlnm.Print_Area" localSheetId="3">'бестерек  дежурный'!$A$1:$AX$59</definedName>
    <definedName name="_xlnm.Print_Area" localSheetId="2">'ЛСШ 1 дежурн'!#REF!</definedName>
    <definedName name="_xlnm.Print_Area" localSheetId="1">'сводная дежурн'!$A$1:$AX$61</definedName>
    <definedName name="_xlnm.Print_Area" localSheetId="0">'Тсш дежурн'!$A$1:$AW$155</definedName>
  </definedNames>
  <calcPr calcId="191029"/>
  <fileRecoveryPr autoRecover="0"/>
</workbook>
</file>

<file path=xl/calcChain.xml><?xml version="1.0" encoding="utf-8"?>
<calcChain xmlns="http://schemas.openxmlformats.org/spreadsheetml/2006/main">
  <c r="I78" i="62" l="1"/>
  <c r="J78" i="62" s="1"/>
  <c r="AS80" i="62"/>
  <c r="AR80" i="62"/>
  <c r="AP80" i="62"/>
  <c r="AL80" i="62"/>
  <c r="AK80" i="62"/>
  <c r="AJ80" i="62"/>
  <c r="AI80" i="62"/>
  <c r="AH80" i="62"/>
  <c r="AG80" i="62"/>
  <c r="AF80" i="62"/>
  <c r="AE80" i="62"/>
  <c r="AD80" i="62"/>
  <c r="AC80" i="62"/>
  <c r="AB80" i="62"/>
  <c r="Z80" i="62"/>
  <c r="Y80" i="62"/>
  <c r="X80" i="62"/>
  <c r="W80" i="62"/>
  <c r="V80" i="62"/>
  <c r="U80" i="62"/>
  <c r="O80" i="62"/>
  <c r="N80" i="62"/>
  <c r="M80" i="62"/>
  <c r="K80" i="62"/>
  <c r="I79" i="62"/>
  <c r="J79" i="62" s="1"/>
  <c r="AV79" i="62" s="1"/>
  <c r="AW79" i="62" s="1"/>
  <c r="AX79" i="62" s="1"/>
  <c r="AQ79" i="62" s="1"/>
  <c r="AT79" i="62" s="1"/>
  <c r="I77" i="62"/>
  <c r="J77" i="62" s="1"/>
  <c r="I76" i="62"/>
  <c r="J76" i="62" s="1"/>
  <c r="I75" i="62"/>
  <c r="J75" i="62" s="1"/>
  <c r="R75" i="62" s="1"/>
  <c r="I74" i="62"/>
  <c r="J74" i="62" s="1"/>
  <c r="P74" i="62" s="1"/>
  <c r="I73" i="62"/>
  <c r="J73" i="62" s="1"/>
  <c r="T65" i="62"/>
  <c r="S62" i="62"/>
  <c r="R62" i="62"/>
  <c r="Q62" i="62"/>
  <c r="T61" i="62"/>
  <c r="T60" i="62"/>
  <c r="T59" i="62"/>
  <c r="T58" i="62"/>
  <c r="L78" i="62" l="1"/>
  <c r="R78" i="62"/>
  <c r="AV78" i="62"/>
  <c r="AW78" i="62" s="1"/>
  <c r="AX78" i="62" s="1"/>
  <c r="AQ78" i="62" s="1"/>
  <c r="AT78" i="62" s="1"/>
  <c r="P78" i="62"/>
  <c r="Q78" i="62"/>
  <c r="T62" i="62"/>
  <c r="I80" i="62"/>
  <c r="R73" i="62"/>
  <c r="P73" i="62"/>
  <c r="AV77" i="62"/>
  <c r="AW77" i="62" s="1"/>
  <c r="AX77" i="62" s="1"/>
  <c r="AQ77" i="62" s="1"/>
  <c r="L77" i="62"/>
  <c r="R77" i="62"/>
  <c r="P77" i="62"/>
  <c r="Q77" i="62"/>
  <c r="J80" i="62"/>
  <c r="Q76" i="62"/>
  <c r="AV76" i="62"/>
  <c r="AW76" i="62" s="1"/>
  <c r="AX76" i="62" s="1"/>
  <c r="AQ76" i="62" s="1"/>
  <c r="AT76" i="62" s="1"/>
  <c r="R76" i="62"/>
  <c r="P76" i="62"/>
  <c r="L76" i="62"/>
  <c r="Q73" i="62"/>
  <c r="AV73" i="62"/>
  <c r="AW73" i="62" s="1"/>
  <c r="AX73" i="62" s="1"/>
  <c r="AQ73" i="62" s="1"/>
  <c r="L73" i="62"/>
  <c r="R74" i="62"/>
  <c r="P75" i="62"/>
  <c r="L74" i="62"/>
  <c r="Q74" i="62"/>
  <c r="AV74" i="62"/>
  <c r="AW74" i="62" s="1"/>
  <c r="AX74" i="62" s="1"/>
  <c r="AQ74" i="62" s="1"/>
  <c r="L75" i="62"/>
  <c r="Q75" i="62"/>
  <c r="AV75" i="62"/>
  <c r="AW75" i="62" s="1"/>
  <c r="AX75" i="62" s="1"/>
  <c r="AQ75" i="62" s="1"/>
  <c r="L79" i="62"/>
  <c r="Q79" i="62"/>
  <c r="P79" i="62"/>
  <c r="R79" i="62"/>
  <c r="S78" i="62" l="1"/>
  <c r="T78" i="62" s="1"/>
  <c r="S75" i="62"/>
  <c r="T75" i="62" s="1"/>
  <c r="S74" i="62"/>
  <c r="AO74" i="62" s="1"/>
  <c r="S73" i="62"/>
  <c r="T73" i="62" s="1"/>
  <c r="AU73" i="62" s="1"/>
  <c r="S76" i="62"/>
  <c r="T76" i="62" s="1"/>
  <c r="AU76" i="62" s="1"/>
  <c r="AN75" i="62"/>
  <c r="AT75" i="62" s="1"/>
  <c r="L80" i="62"/>
  <c r="AV80" i="62"/>
  <c r="S79" i="62"/>
  <c r="T79" i="62" s="1"/>
  <c r="AU79" i="62" s="1"/>
  <c r="R80" i="62"/>
  <c r="Q80" i="62"/>
  <c r="S77" i="62"/>
  <c r="T77" i="62" s="1"/>
  <c r="P80" i="62"/>
  <c r="AU78" i="62" l="1"/>
  <c r="T74" i="62"/>
  <c r="AU74" i="62" s="1"/>
  <c r="AT74" i="62"/>
  <c r="AO80" i="62"/>
  <c r="AU75" i="62"/>
  <c r="AN77" i="62"/>
  <c r="AT77" i="62" s="1"/>
  <c r="AM80" i="62"/>
  <c r="AT73" i="62"/>
  <c r="AW80" i="62"/>
  <c r="S80" i="62"/>
  <c r="AU77" i="62" l="1"/>
  <c r="T80" i="62"/>
  <c r="AX80" i="62"/>
  <c r="AN80" i="62"/>
  <c r="AQ80" i="62" l="1"/>
  <c r="AT80" i="62"/>
  <c r="AU82" i="62"/>
  <c r="AU80" i="62"/>
  <c r="I43" i="62" l="1"/>
  <c r="J43" i="62" s="1"/>
  <c r="I41" i="62"/>
  <c r="J41" i="62" s="1"/>
  <c r="AV43" i="62" l="1"/>
  <c r="AW43" i="62" s="1"/>
  <c r="AX43" i="62" s="1"/>
  <c r="AQ43" i="62" s="1"/>
  <c r="AT43" i="62" s="1"/>
  <c r="R43" i="62"/>
  <c r="P43" i="62"/>
  <c r="Q43" i="62"/>
  <c r="L43" i="62"/>
  <c r="R41" i="62"/>
  <c r="P41" i="62"/>
  <c r="AV41" i="62"/>
  <c r="AW41" i="62" s="1"/>
  <c r="AX41" i="62" s="1"/>
  <c r="AQ41" i="62" s="1"/>
  <c r="Q41" i="62"/>
  <c r="L41" i="62"/>
  <c r="S43" i="62" l="1"/>
  <c r="S41" i="62"/>
  <c r="T43" i="62" l="1"/>
  <c r="AU43" i="62" s="1"/>
  <c r="T41" i="62"/>
  <c r="AT41" i="62"/>
  <c r="AU41" i="62" l="1"/>
  <c r="M48" i="62" l="1"/>
  <c r="N48" i="62"/>
  <c r="O48" i="62"/>
  <c r="U48" i="62"/>
  <c r="V48" i="62"/>
  <c r="W48" i="62"/>
  <c r="X48" i="62"/>
  <c r="Y48" i="62"/>
  <c r="Z48" i="62"/>
  <c r="AA48" i="62"/>
  <c r="AB48" i="62"/>
  <c r="AC48" i="62"/>
  <c r="AD48" i="62"/>
  <c r="AE48" i="62"/>
  <c r="AF48" i="62"/>
  <c r="AG48" i="62"/>
  <c r="AH48" i="62"/>
  <c r="AI48" i="62"/>
  <c r="AJ48" i="62"/>
  <c r="AK48" i="62"/>
  <c r="AL48" i="62"/>
  <c r="AP48" i="62"/>
  <c r="AR48" i="62"/>
  <c r="AS48" i="62"/>
  <c r="I47" i="62"/>
  <c r="J47" i="62" s="1"/>
  <c r="R47" i="62" l="1"/>
  <c r="L47" i="62"/>
  <c r="AV47" i="62"/>
  <c r="AW47" i="62" s="1"/>
  <c r="AX47" i="62" s="1"/>
  <c r="AQ47" i="62" s="1"/>
  <c r="AT47" i="62" s="1"/>
  <c r="P47" i="62"/>
  <c r="Q47" i="62"/>
  <c r="S47" i="62" l="1"/>
  <c r="T47" i="62" s="1"/>
  <c r="AU47" i="62" l="1"/>
  <c r="K48" i="62"/>
  <c r="R7" i="62"/>
  <c r="S7" i="62"/>
  <c r="Q7" i="62"/>
  <c r="AN148" i="83" l="1"/>
  <c r="AL148" i="83"/>
  <c r="AK148" i="83"/>
  <c r="AJ148" i="83"/>
  <c r="AI148" i="83"/>
  <c r="AE148" i="83"/>
  <c r="AD148" i="83"/>
  <c r="AC148" i="83"/>
  <c r="AB148" i="83"/>
  <c r="AA148" i="83"/>
  <c r="Z148" i="83"/>
  <c r="Y148" i="83"/>
  <c r="X148" i="83"/>
  <c r="W148" i="83"/>
  <c r="V148" i="83"/>
  <c r="U148" i="83"/>
  <c r="O148" i="83"/>
  <c r="N148" i="83"/>
  <c r="M148" i="83"/>
  <c r="K148" i="83"/>
  <c r="I147" i="83"/>
  <c r="J147" i="83" s="1"/>
  <c r="R147" i="83" s="1"/>
  <c r="I146" i="83"/>
  <c r="J146" i="83" s="1"/>
  <c r="AS146" i="83" s="1"/>
  <c r="AT146" i="83" s="1"/>
  <c r="AU146" i="83" s="1"/>
  <c r="AM146" i="83" s="1"/>
  <c r="I145" i="83"/>
  <c r="J145" i="83" s="1"/>
  <c r="AS145" i="83" s="1"/>
  <c r="AT145" i="83" s="1"/>
  <c r="AU145" i="83" s="1"/>
  <c r="AM145" i="83" s="1"/>
  <c r="I144" i="83"/>
  <c r="J144" i="83" s="1"/>
  <c r="I143" i="83"/>
  <c r="J143" i="83" s="1"/>
  <c r="AS143" i="83" s="1"/>
  <c r="AT143" i="83" s="1"/>
  <c r="AU143" i="83" s="1"/>
  <c r="AM143" i="83" s="1"/>
  <c r="AP143" i="83" s="1"/>
  <c r="J142" i="83"/>
  <c r="AS142" i="83" s="1"/>
  <c r="AT142" i="83" s="1"/>
  <c r="AU142" i="83" s="1"/>
  <c r="AM142" i="83" s="1"/>
  <c r="AP142" i="83" s="1"/>
  <c r="I142" i="83"/>
  <c r="AO141" i="83"/>
  <c r="AO148" i="83" s="1"/>
  <c r="I141" i="83"/>
  <c r="J141" i="83" s="1"/>
  <c r="AS141" i="83" s="1"/>
  <c r="AT141" i="83" s="1"/>
  <c r="AU141" i="83" s="1"/>
  <c r="AM141" i="83" s="1"/>
  <c r="I140" i="83"/>
  <c r="J140" i="83" s="1"/>
  <c r="AS140" i="83" s="1"/>
  <c r="AT140" i="83" s="1"/>
  <c r="AU140" i="83" s="1"/>
  <c r="AM140" i="83" s="1"/>
  <c r="AP140" i="83" s="1"/>
  <c r="I139" i="83"/>
  <c r="J139" i="83" s="1"/>
  <c r="AS139" i="83" s="1"/>
  <c r="AT139" i="83" s="1"/>
  <c r="AU139" i="83" s="1"/>
  <c r="AM139" i="83" s="1"/>
  <c r="AP139" i="83" s="1"/>
  <c r="I138" i="83"/>
  <c r="J138" i="83" s="1"/>
  <c r="AS138" i="83" s="1"/>
  <c r="AT138" i="83" s="1"/>
  <c r="AU138" i="83" s="1"/>
  <c r="AM138" i="83" s="1"/>
  <c r="AP138" i="83" s="1"/>
  <c r="I137" i="83"/>
  <c r="J137" i="83" s="1"/>
  <c r="AS137" i="83" s="1"/>
  <c r="AT137" i="83" s="1"/>
  <c r="AU137" i="83" s="1"/>
  <c r="AM137" i="83" s="1"/>
  <c r="I136" i="83"/>
  <c r="J136" i="83" s="1"/>
  <c r="I135" i="83"/>
  <c r="J135" i="83" s="1"/>
  <c r="Q135" i="83" s="1"/>
  <c r="I134" i="83"/>
  <c r="J134" i="83" s="1"/>
  <c r="AS134" i="83" s="1"/>
  <c r="AT134" i="83" s="1"/>
  <c r="AU134" i="83" s="1"/>
  <c r="AM134" i="83" s="1"/>
  <c r="AP134" i="83" s="1"/>
  <c r="I133" i="83"/>
  <c r="J133" i="83" s="1"/>
  <c r="I132" i="83"/>
  <c r="J132" i="83" s="1"/>
  <c r="Q132" i="83" s="1"/>
  <c r="I131" i="83"/>
  <c r="J131" i="83" s="1"/>
  <c r="J130" i="83"/>
  <c r="Q130" i="83" s="1"/>
  <c r="I130" i="83"/>
  <c r="J129" i="83"/>
  <c r="AS129" i="83" s="1"/>
  <c r="AT129" i="83" s="1"/>
  <c r="AU129" i="83" s="1"/>
  <c r="AM129" i="83" s="1"/>
  <c r="AP129" i="83" s="1"/>
  <c r="I129" i="83"/>
  <c r="I128" i="83"/>
  <c r="J128" i="83" s="1"/>
  <c r="I127" i="83"/>
  <c r="J127" i="83" s="1"/>
  <c r="Q127" i="83" s="1"/>
  <c r="I126" i="83"/>
  <c r="J126" i="83" s="1"/>
  <c r="I125" i="83"/>
  <c r="J125" i="83" s="1"/>
  <c r="Q125" i="83" s="1"/>
  <c r="I124" i="83"/>
  <c r="J124" i="83" s="1"/>
  <c r="I123" i="83"/>
  <c r="J123" i="83" s="1"/>
  <c r="Q123" i="83" s="1"/>
  <c r="I122" i="83"/>
  <c r="J122" i="83" s="1"/>
  <c r="I121" i="83"/>
  <c r="J121" i="83" s="1"/>
  <c r="I120" i="83"/>
  <c r="J120" i="83" s="1"/>
  <c r="Q120" i="83" s="1"/>
  <c r="I119" i="83"/>
  <c r="J119" i="83" s="1"/>
  <c r="T111" i="83"/>
  <c r="T110" i="83"/>
  <c r="T109" i="83"/>
  <c r="S108" i="83"/>
  <c r="R108" i="83"/>
  <c r="Q108" i="83"/>
  <c r="T107" i="83"/>
  <c r="T106" i="83"/>
  <c r="T105" i="83"/>
  <c r="T104" i="83"/>
  <c r="T108" i="83" l="1"/>
  <c r="J148" i="83"/>
  <c r="AS119" i="83"/>
  <c r="R119" i="83"/>
  <c r="P119" i="83"/>
  <c r="Q119" i="83"/>
  <c r="AS122" i="83"/>
  <c r="AT122" i="83" s="1"/>
  <c r="AU122" i="83" s="1"/>
  <c r="AM122" i="83" s="1"/>
  <c r="R122" i="83"/>
  <c r="P122" i="83"/>
  <c r="Q122" i="83"/>
  <c r="AS126" i="83"/>
  <c r="AT126" i="83" s="1"/>
  <c r="AU126" i="83" s="1"/>
  <c r="AM126" i="83" s="1"/>
  <c r="R126" i="83"/>
  <c r="P126" i="83"/>
  <c r="Q126" i="83"/>
  <c r="AS131" i="83"/>
  <c r="AT131" i="83" s="1"/>
  <c r="AU131" i="83" s="1"/>
  <c r="AM131" i="83" s="1"/>
  <c r="R131" i="83"/>
  <c r="P131" i="83"/>
  <c r="Q131" i="83"/>
  <c r="AS136" i="83"/>
  <c r="AT136" i="83" s="1"/>
  <c r="AU136" i="83" s="1"/>
  <c r="AM136" i="83" s="1"/>
  <c r="R136" i="83"/>
  <c r="P136" i="83"/>
  <c r="Q136" i="83"/>
  <c r="AS144" i="83"/>
  <c r="AT144" i="83" s="1"/>
  <c r="AU144" i="83" s="1"/>
  <c r="AM144" i="83" s="1"/>
  <c r="AP144" i="83" s="1"/>
  <c r="P144" i="83"/>
  <c r="R144" i="83"/>
  <c r="R121" i="83"/>
  <c r="P121" i="83"/>
  <c r="AS121" i="83"/>
  <c r="AT121" i="83" s="1"/>
  <c r="AU121" i="83" s="1"/>
  <c r="AM121" i="83" s="1"/>
  <c r="AP121" i="83" s="1"/>
  <c r="Q121" i="83"/>
  <c r="AS124" i="83"/>
  <c r="AT124" i="83" s="1"/>
  <c r="AU124" i="83" s="1"/>
  <c r="AM124" i="83" s="1"/>
  <c r="R124" i="83"/>
  <c r="P124" i="83"/>
  <c r="Q124" i="83"/>
  <c r="AS128" i="83"/>
  <c r="AT128" i="83" s="1"/>
  <c r="AU128" i="83" s="1"/>
  <c r="AM128" i="83" s="1"/>
  <c r="R128" i="83"/>
  <c r="P128" i="83"/>
  <c r="Q128" i="83"/>
  <c r="AS133" i="83"/>
  <c r="AT133" i="83" s="1"/>
  <c r="AU133" i="83" s="1"/>
  <c r="AM133" i="83" s="1"/>
  <c r="R133" i="83"/>
  <c r="P133" i="83"/>
  <c r="Q133" i="83"/>
  <c r="P120" i="83"/>
  <c r="R120" i="83"/>
  <c r="AS120" i="83"/>
  <c r="AT120" i="83" s="1"/>
  <c r="AU120" i="83" s="1"/>
  <c r="AM120" i="83" s="1"/>
  <c r="P123" i="83"/>
  <c r="R123" i="83"/>
  <c r="AS123" i="83"/>
  <c r="AT123" i="83" s="1"/>
  <c r="AU123" i="83" s="1"/>
  <c r="AM123" i="83" s="1"/>
  <c r="P125" i="83"/>
  <c r="R125" i="83"/>
  <c r="AS125" i="83"/>
  <c r="AT125" i="83" s="1"/>
  <c r="AU125" i="83" s="1"/>
  <c r="AM125" i="83" s="1"/>
  <c r="P127" i="83"/>
  <c r="R127" i="83"/>
  <c r="AS127" i="83"/>
  <c r="AT127" i="83" s="1"/>
  <c r="AU127" i="83" s="1"/>
  <c r="AM127" i="83" s="1"/>
  <c r="P129" i="83"/>
  <c r="R129" i="83"/>
  <c r="P130" i="83"/>
  <c r="R130" i="83"/>
  <c r="AS130" i="83"/>
  <c r="AT130" i="83" s="1"/>
  <c r="AU130" i="83" s="1"/>
  <c r="AM130" i="83" s="1"/>
  <c r="P132" i="83"/>
  <c r="R132" i="83"/>
  <c r="AS132" i="83"/>
  <c r="AT132" i="83" s="1"/>
  <c r="AU132" i="83" s="1"/>
  <c r="AM132" i="83" s="1"/>
  <c r="P134" i="83"/>
  <c r="R134" i="83"/>
  <c r="P135" i="83"/>
  <c r="R135" i="83"/>
  <c r="AS135" i="83"/>
  <c r="AT135" i="83" s="1"/>
  <c r="AU135" i="83" s="1"/>
  <c r="AM135" i="83" s="1"/>
  <c r="P137" i="83"/>
  <c r="P138" i="83"/>
  <c r="R138" i="83"/>
  <c r="P139" i="83"/>
  <c r="R139" i="83"/>
  <c r="P140" i="83"/>
  <c r="R140" i="83"/>
  <c r="P141" i="83"/>
  <c r="R141" i="83"/>
  <c r="P142" i="83"/>
  <c r="R142" i="83"/>
  <c r="L143" i="83"/>
  <c r="R143" i="83"/>
  <c r="P145" i="83"/>
  <c r="P146" i="83"/>
  <c r="P147" i="83"/>
  <c r="AS147" i="83"/>
  <c r="AT147" i="83" s="1"/>
  <c r="AU147" i="83" s="1"/>
  <c r="AM147" i="83" s="1"/>
  <c r="AP147" i="83" s="1"/>
  <c r="Q129" i="83"/>
  <c r="Q134" i="83"/>
  <c r="Q138" i="83"/>
  <c r="Q139" i="83"/>
  <c r="Q140" i="83"/>
  <c r="Q141" i="83"/>
  <c r="Q142" i="83"/>
  <c r="P143" i="83"/>
  <c r="R145" i="83"/>
  <c r="R146" i="83"/>
  <c r="S146" i="83" l="1"/>
  <c r="T146" i="83" s="1"/>
  <c r="S147" i="83"/>
  <c r="S145" i="83"/>
  <c r="S135" i="83"/>
  <c r="AG135" i="83" s="1"/>
  <c r="AP135" i="83" s="1"/>
  <c r="S134" i="83"/>
  <c r="S130" i="83"/>
  <c r="AQ130" i="83" s="1"/>
  <c r="T130" i="83"/>
  <c r="S129" i="83"/>
  <c r="S125" i="83"/>
  <c r="T125" i="83" s="1"/>
  <c r="S120" i="83"/>
  <c r="AF120" i="83" s="1"/>
  <c r="AP120" i="83" s="1"/>
  <c r="S121" i="83"/>
  <c r="T121" i="83" s="1"/>
  <c r="S144" i="83"/>
  <c r="T144" i="83" s="1"/>
  <c r="AQ144" i="83" s="1"/>
  <c r="AR144" i="83" s="1"/>
  <c r="Q148" i="83"/>
  <c r="R148" i="83"/>
  <c r="L148" i="83"/>
  <c r="S143" i="83"/>
  <c r="T143" i="83" s="1"/>
  <c r="S142" i="83"/>
  <c r="S141" i="83"/>
  <c r="AH141" i="83" s="1"/>
  <c r="AP141" i="83" s="1"/>
  <c r="S140" i="83"/>
  <c r="S139" i="83"/>
  <c r="T139" i="83" s="1"/>
  <c r="S138" i="83"/>
  <c r="S137" i="83"/>
  <c r="S132" i="83"/>
  <c r="AH132" i="83" s="1"/>
  <c r="S127" i="83"/>
  <c r="AG127" i="83" s="1"/>
  <c r="AP127" i="83" s="1"/>
  <c r="S123" i="83"/>
  <c r="AF123" i="83" s="1"/>
  <c r="AP123" i="83" s="1"/>
  <c r="S133" i="83"/>
  <c r="S128" i="83"/>
  <c r="S124" i="83"/>
  <c r="S136" i="83"/>
  <c r="AH136" i="83" s="1"/>
  <c r="AP136" i="83" s="1"/>
  <c r="S131" i="83"/>
  <c r="T131" i="83" s="1"/>
  <c r="S126" i="83"/>
  <c r="S122" i="83"/>
  <c r="P148" i="83"/>
  <c r="S119" i="83"/>
  <c r="T119" i="83" s="1"/>
  <c r="AS148" i="83"/>
  <c r="AT119" i="83"/>
  <c r="AH130" i="83"/>
  <c r="I92" i="83"/>
  <c r="AQ121" i="83" l="1"/>
  <c r="AR121" i="83" s="1"/>
  <c r="AQ139" i="83"/>
  <c r="AQ127" i="83"/>
  <c r="AQ141" i="83"/>
  <c r="AR139" i="83"/>
  <c r="AQ123" i="83"/>
  <c r="AG137" i="83"/>
  <c r="AP137" i="83" s="1"/>
  <c r="AF119" i="83"/>
  <c r="T136" i="83"/>
  <c r="AQ136" i="83" s="1"/>
  <c r="AR136" i="83" s="1"/>
  <c r="T123" i="83"/>
  <c r="T127" i="83"/>
  <c r="T132" i="83"/>
  <c r="AQ132" i="83" s="1"/>
  <c r="AR132" i="83" s="1"/>
  <c r="T137" i="83"/>
  <c r="AQ137" i="83" s="1"/>
  <c r="AF146" i="83"/>
  <c r="AP146" i="83" s="1"/>
  <c r="T141" i="83"/>
  <c r="T120" i="83"/>
  <c r="AQ120" i="83" s="1"/>
  <c r="AR120" i="83" s="1"/>
  <c r="T135" i="83"/>
  <c r="AQ135" i="83" s="1"/>
  <c r="AR135" i="83" s="1"/>
  <c r="AQ146" i="83"/>
  <c r="AR146" i="83" s="1"/>
  <c r="AP132" i="83"/>
  <c r="AT148" i="83"/>
  <c r="AU119" i="83"/>
  <c r="T122" i="83"/>
  <c r="AQ122" i="83" s="1"/>
  <c r="T126" i="83"/>
  <c r="AQ126" i="83" s="1"/>
  <c r="T124" i="83"/>
  <c r="AQ124" i="83" s="1"/>
  <c r="T128" i="83"/>
  <c r="AQ128" i="83" s="1"/>
  <c r="T133" i="83"/>
  <c r="AQ133" i="83" s="1"/>
  <c r="AH131" i="83"/>
  <c r="AP131" i="83" s="1"/>
  <c r="AP130" i="83"/>
  <c r="T145" i="83"/>
  <c r="T147" i="83"/>
  <c r="AQ147" i="83" s="1"/>
  <c r="AR147" i="83" s="1"/>
  <c r="AQ143" i="83"/>
  <c r="AR143" i="83" s="1"/>
  <c r="AG125" i="83"/>
  <c r="AQ125" i="83" s="1"/>
  <c r="AF122" i="83"/>
  <c r="AP122" i="83" s="1"/>
  <c r="AF126" i="83"/>
  <c r="AP126" i="83" s="1"/>
  <c r="AF124" i="83"/>
  <c r="AP124" i="83" s="1"/>
  <c r="AF128" i="83"/>
  <c r="AP128" i="83" s="1"/>
  <c r="AG133" i="83"/>
  <c r="AP133" i="83" s="1"/>
  <c r="AR123" i="83"/>
  <c r="T138" i="83"/>
  <c r="AQ138" i="83" s="1"/>
  <c r="T140" i="83"/>
  <c r="T142" i="83"/>
  <c r="AQ142" i="83" s="1"/>
  <c r="AR142" i="83" s="1"/>
  <c r="S148" i="83"/>
  <c r="T148" i="83" s="1"/>
  <c r="T129" i="83"/>
  <c r="T134" i="83"/>
  <c r="AQ134" i="83" s="1"/>
  <c r="AG145" i="83"/>
  <c r="AP145" i="83" s="1"/>
  <c r="AQ131" i="83" l="1"/>
  <c r="AQ129" i="83"/>
  <c r="AR129" i="83" s="1"/>
  <c r="AQ140" i="83"/>
  <c r="AR140" i="83" s="1"/>
  <c r="AR138" i="83"/>
  <c r="AR134" i="83"/>
  <c r="AR141" i="83"/>
  <c r="AR127" i="83"/>
  <c r="AR137" i="83"/>
  <c r="AR130" i="83"/>
  <c r="AR122" i="83"/>
  <c r="AR133" i="83"/>
  <c r="AR124" i="83"/>
  <c r="AQ145" i="83"/>
  <c r="AR145" i="83" s="1"/>
  <c r="AR128" i="83"/>
  <c r="AR126" i="83"/>
  <c r="AG148" i="83"/>
  <c r="AP125" i="83"/>
  <c r="AR125" i="83" s="1"/>
  <c r="AR131" i="83"/>
  <c r="AH148" i="83"/>
  <c r="AM119" i="83"/>
  <c r="AU148" i="83"/>
  <c r="AF148" i="83"/>
  <c r="AM148" i="83" l="1"/>
  <c r="AP119" i="83"/>
  <c r="AP148" i="83" s="1"/>
  <c r="AQ119" i="83"/>
  <c r="AQ148" i="83" l="1"/>
  <c r="AR119" i="83"/>
  <c r="AR148" i="83" s="1"/>
  <c r="K96" i="83" l="1"/>
  <c r="M96" i="83"/>
  <c r="N96" i="83"/>
  <c r="O96" i="83"/>
  <c r="U96" i="83"/>
  <c r="V96" i="83"/>
  <c r="W96" i="83"/>
  <c r="X96" i="83"/>
  <c r="Y96" i="83"/>
  <c r="Z96" i="83"/>
  <c r="AA96" i="83"/>
  <c r="AB96" i="83"/>
  <c r="AC96" i="83"/>
  <c r="AD96" i="83"/>
  <c r="AE96" i="83"/>
  <c r="AI96" i="83"/>
  <c r="AJ96" i="83"/>
  <c r="AK96" i="83"/>
  <c r="AL96" i="83"/>
  <c r="AN96" i="83"/>
  <c r="I95" i="83"/>
  <c r="J95" i="83" s="1"/>
  <c r="R95" i="83" s="1"/>
  <c r="I94" i="83"/>
  <c r="J94" i="83" s="1"/>
  <c r="I93" i="83"/>
  <c r="J93" i="83" s="1"/>
  <c r="AS93" i="83" s="1"/>
  <c r="AT93" i="83" s="1"/>
  <c r="AU93" i="83" s="1"/>
  <c r="AM93" i="83" s="1"/>
  <c r="J92" i="83"/>
  <c r="P93" i="83" l="1"/>
  <c r="P92" i="83"/>
  <c r="AS92" i="83"/>
  <c r="AT92" i="83" s="1"/>
  <c r="AU92" i="83" s="1"/>
  <c r="AM92" i="83" s="1"/>
  <c r="P94" i="83"/>
  <c r="R94" i="83"/>
  <c r="AS94" i="83"/>
  <c r="AT94" i="83" s="1"/>
  <c r="AU94" i="83" s="1"/>
  <c r="AM94" i="83" s="1"/>
  <c r="P95" i="83"/>
  <c r="AS95" i="83"/>
  <c r="AT95" i="83" s="1"/>
  <c r="AU95" i="83" s="1"/>
  <c r="AM95" i="83" s="1"/>
  <c r="R92" i="83"/>
  <c r="R93" i="83"/>
  <c r="S93" i="83" l="1"/>
  <c r="T93" i="83" s="1"/>
  <c r="S95" i="83"/>
  <c r="AP95" i="83" s="1"/>
  <c r="S94" i="83"/>
  <c r="T94" i="83" s="1"/>
  <c r="S92" i="83"/>
  <c r="T92" i="83" s="1"/>
  <c r="AG93" i="83" l="1"/>
  <c r="AQ93" i="83" s="1"/>
  <c r="AF94" i="83"/>
  <c r="AQ94" i="83"/>
  <c r="T95" i="83"/>
  <c r="AQ95" i="83" s="1"/>
  <c r="AR95" i="83" s="1"/>
  <c r="AP92" i="83"/>
  <c r="AP94" i="83"/>
  <c r="AP93" i="83" l="1"/>
  <c r="AR93" i="83" s="1"/>
  <c r="AQ92" i="83"/>
  <c r="AR92" i="83" s="1"/>
  <c r="AR94" i="83"/>
  <c r="M44" i="83" l="1"/>
  <c r="N44" i="83"/>
  <c r="O44" i="83"/>
  <c r="U44" i="83"/>
  <c r="V44" i="83"/>
  <c r="W44" i="83"/>
  <c r="X44" i="83"/>
  <c r="Y44" i="83"/>
  <c r="Z44" i="83"/>
  <c r="AA44" i="83"/>
  <c r="AB44" i="83"/>
  <c r="AC44" i="83"/>
  <c r="AD44" i="83"/>
  <c r="AE44" i="83"/>
  <c r="AI44" i="83"/>
  <c r="AJ44" i="83"/>
  <c r="AK44" i="83"/>
  <c r="AL44" i="83"/>
  <c r="AN44" i="83"/>
  <c r="AO44" i="83"/>
  <c r="K44" i="83"/>
  <c r="AM43" i="83"/>
  <c r="AP43" i="83" s="1"/>
  <c r="I43" i="83"/>
  <c r="R43" i="83" s="1"/>
  <c r="AM42" i="83"/>
  <c r="AP42" i="83" s="1"/>
  <c r="I42" i="83"/>
  <c r="R42" i="83" s="1"/>
  <c r="I91" i="83"/>
  <c r="I90" i="83"/>
  <c r="J90" i="83" s="1"/>
  <c r="AS90" i="83" s="1"/>
  <c r="AT90" i="83" s="1"/>
  <c r="AU90" i="83" s="1"/>
  <c r="AM90" i="83" s="1"/>
  <c r="AV96" i="83"/>
  <c r="I40" i="83"/>
  <c r="P40" i="83" s="1"/>
  <c r="AF23" i="82"/>
  <c r="AD23" i="82"/>
  <c r="AC23" i="82"/>
  <c r="AB23" i="82"/>
  <c r="AA23" i="82"/>
  <c r="W23" i="82"/>
  <c r="V23" i="82"/>
  <c r="U23" i="82"/>
  <c r="T23" i="82"/>
  <c r="S23" i="82"/>
  <c r="R23" i="82"/>
  <c r="Q23" i="82"/>
  <c r="P23" i="82"/>
  <c r="O23" i="82"/>
  <c r="N23" i="82"/>
  <c r="M23" i="82"/>
  <c r="G23" i="82"/>
  <c r="F23" i="82"/>
  <c r="E23" i="82"/>
  <c r="C23" i="82"/>
  <c r="I89" i="83"/>
  <c r="J89" i="83" s="1"/>
  <c r="AO88" i="83"/>
  <c r="AO96" i="83" s="1"/>
  <c r="I88" i="83"/>
  <c r="J88" i="83" s="1"/>
  <c r="I87" i="83"/>
  <c r="J87" i="83" s="1"/>
  <c r="I86" i="83"/>
  <c r="J86" i="83" s="1"/>
  <c r="I85" i="83"/>
  <c r="J85" i="83" s="1"/>
  <c r="I84" i="83"/>
  <c r="J84" i="83" s="1"/>
  <c r="I83" i="83"/>
  <c r="J83" i="83" s="1"/>
  <c r="I82" i="83"/>
  <c r="J82" i="83" s="1"/>
  <c r="I81" i="83"/>
  <c r="J81" i="83" s="1"/>
  <c r="I80" i="83"/>
  <c r="J80" i="83" s="1"/>
  <c r="I79" i="83"/>
  <c r="J79" i="83" s="1"/>
  <c r="I78" i="83"/>
  <c r="J78" i="83" s="1"/>
  <c r="I77" i="83"/>
  <c r="J77" i="83" s="1"/>
  <c r="I76" i="83"/>
  <c r="J76" i="83" s="1"/>
  <c r="I75" i="83"/>
  <c r="J75" i="83" s="1"/>
  <c r="I74" i="83"/>
  <c r="J74" i="83" s="1"/>
  <c r="I73" i="83"/>
  <c r="J73" i="83" s="1"/>
  <c r="I72" i="83"/>
  <c r="J72" i="83" s="1"/>
  <c r="I71" i="83"/>
  <c r="J71" i="83" s="1"/>
  <c r="I70" i="83"/>
  <c r="J70" i="83" s="1"/>
  <c r="I69" i="83"/>
  <c r="J69" i="83" s="1"/>
  <c r="I68" i="83"/>
  <c r="J68" i="83" s="1"/>
  <c r="I67" i="83"/>
  <c r="J67" i="83" s="1"/>
  <c r="I66" i="83"/>
  <c r="J66" i="83" s="1"/>
  <c r="T58" i="83"/>
  <c r="T57" i="83"/>
  <c r="T56" i="83"/>
  <c r="S55" i="83"/>
  <c r="R55" i="83"/>
  <c r="Q55" i="83"/>
  <c r="T54" i="83"/>
  <c r="T53" i="83"/>
  <c r="T52" i="83"/>
  <c r="T51" i="83"/>
  <c r="I41" i="83"/>
  <c r="AS41" i="83" s="1"/>
  <c r="AT41" i="83" s="1"/>
  <c r="AU41" i="83" s="1"/>
  <c r="AM41" i="83" s="1"/>
  <c r="I39" i="83"/>
  <c r="AS39" i="83" s="1"/>
  <c r="AT39" i="83" s="1"/>
  <c r="AU39" i="83" s="1"/>
  <c r="AM39" i="83" s="1"/>
  <c r="AP39" i="83" s="1"/>
  <c r="I38" i="83"/>
  <c r="R38" i="83"/>
  <c r="I37" i="83"/>
  <c r="R37" i="83"/>
  <c r="I36" i="83"/>
  <c r="R36" i="83"/>
  <c r="I35" i="83"/>
  <c r="AS35" i="83"/>
  <c r="AT35" i="83" s="1"/>
  <c r="AU35" i="83" s="1"/>
  <c r="AM35" i="83" s="1"/>
  <c r="I34" i="83"/>
  <c r="AS34" i="83" s="1"/>
  <c r="AT34" i="83" s="1"/>
  <c r="AU34" i="83" s="1"/>
  <c r="AM34" i="83" s="1"/>
  <c r="I33" i="83"/>
  <c r="R33" i="83" s="1"/>
  <c r="I32" i="83"/>
  <c r="AS32" i="83" s="1"/>
  <c r="AT32" i="83" s="1"/>
  <c r="AU32" i="83" s="1"/>
  <c r="AM32" i="83" s="1"/>
  <c r="I31" i="83"/>
  <c r="AS31" i="83" s="1"/>
  <c r="AT31" i="83" s="1"/>
  <c r="AU31" i="83" s="1"/>
  <c r="AM31" i="83" s="1"/>
  <c r="I30" i="83"/>
  <c r="AS30" i="83" s="1"/>
  <c r="AT30" i="83" s="1"/>
  <c r="AU30" i="83" s="1"/>
  <c r="AM30" i="83" s="1"/>
  <c r="I29" i="83"/>
  <c r="AS29" i="83" s="1"/>
  <c r="AT29" i="83" s="1"/>
  <c r="AU29" i="83" s="1"/>
  <c r="AM29" i="83" s="1"/>
  <c r="I28" i="83"/>
  <c r="R28" i="83" s="1"/>
  <c r="I27" i="83"/>
  <c r="AS27" i="83" s="1"/>
  <c r="AT27" i="83" s="1"/>
  <c r="AU27" i="83" s="1"/>
  <c r="AM27" i="83" s="1"/>
  <c r="I26" i="83"/>
  <c r="AS26" i="83" s="1"/>
  <c r="AT26" i="83" s="1"/>
  <c r="AU26" i="83" s="1"/>
  <c r="AM26" i="83" s="1"/>
  <c r="I25" i="83"/>
  <c r="AS25" i="83" s="1"/>
  <c r="AT25" i="83" s="1"/>
  <c r="AU25" i="83" s="1"/>
  <c r="AM25" i="83" s="1"/>
  <c r="I24" i="83"/>
  <c r="P24" i="83" s="1"/>
  <c r="I23" i="83"/>
  <c r="Q23" i="83" s="1"/>
  <c r="I22" i="83"/>
  <c r="R22" i="83" s="1"/>
  <c r="I21" i="83"/>
  <c r="AS21" i="83" s="1"/>
  <c r="AT21" i="83" s="1"/>
  <c r="AU21" i="83" s="1"/>
  <c r="AM21" i="83" s="1"/>
  <c r="I20" i="83"/>
  <c r="AS20" i="83" s="1"/>
  <c r="AT20" i="83" s="1"/>
  <c r="AU20" i="83" s="1"/>
  <c r="AM20" i="83" s="1"/>
  <c r="AP20" i="83" s="1"/>
  <c r="I19" i="83"/>
  <c r="Q19" i="83"/>
  <c r="I18" i="83"/>
  <c r="Q18" i="83" s="1"/>
  <c r="T10" i="83"/>
  <c r="T9" i="83"/>
  <c r="T8" i="83"/>
  <c r="S7" i="83"/>
  <c r="R7" i="83"/>
  <c r="Q7" i="83"/>
  <c r="T6" i="83"/>
  <c r="T5" i="83"/>
  <c r="T4" i="83"/>
  <c r="T3" i="83"/>
  <c r="AD21" i="82"/>
  <c r="AD22" i="82"/>
  <c r="D12" i="82"/>
  <c r="E12" i="82"/>
  <c r="F12" i="82"/>
  <c r="G12" i="82"/>
  <c r="H12" i="82"/>
  <c r="I12" i="82"/>
  <c r="J12" i="82"/>
  <c r="K12" i="82"/>
  <c r="L12" i="82"/>
  <c r="M12" i="82"/>
  <c r="N12" i="82"/>
  <c r="O12" i="82"/>
  <c r="P12" i="82"/>
  <c r="Q12" i="82"/>
  <c r="R12" i="82"/>
  <c r="S12" i="82"/>
  <c r="T12" i="82"/>
  <c r="U12" i="82"/>
  <c r="V12" i="82"/>
  <c r="W12" i="82"/>
  <c r="X12" i="82"/>
  <c r="Y12" i="82"/>
  <c r="Z12" i="82"/>
  <c r="AA12" i="82"/>
  <c r="AB12" i="82"/>
  <c r="AC12" i="82"/>
  <c r="AD12" i="82"/>
  <c r="AE12" i="82"/>
  <c r="AF12" i="82"/>
  <c r="AG12" i="82"/>
  <c r="AH12" i="82"/>
  <c r="AI12" i="82"/>
  <c r="AJ12" i="82"/>
  <c r="C12" i="82"/>
  <c r="AD11" i="82"/>
  <c r="X57" i="82"/>
  <c r="V57" i="82"/>
  <c r="V58" i="82"/>
  <c r="T57" i="82"/>
  <c r="AP24" i="81"/>
  <c r="AG22" i="82" s="1"/>
  <c r="AO24" i="81"/>
  <c r="AF22" i="82" s="1"/>
  <c r="AL24" i="81"/>
  <c r="AC22" i="82" s="1"/>
  <c r="AK24" i="81"/>
  <c r="AB22" i="82" s="1"/>
  <c r="AJ24" i="81"/>
  <c r="AA22" i="82" s="1"/>
  <c r="AI24" i="81"/>
  <c r="Z22" i="82" s="1"/>
  <c r="AH24" i="81"/>
  <c r="Y22" i="82" s="1"/>
  <c r="AF24" i="81"/>
  <c r="W22" i="82" s="1"/>
  <c r="AE24" i="81"/>
  <c r="V22" i="82" s="1"/>
  <c r="AD24" i="81"/>
  <c r="U22" i="82" s="1"/>
  <c r="AC24" i="81"/>
  <c r="T22" i="82" s="1"/>
  <c r="AB24" i="81"/>
  <c r="S22" i="82" s="1"/>
  <c r="AA24" i="81"/>
  <c r="R22" i="82" s="1"/>
  <c r="Y24" i="81"/>
  <c r="P22" i="82" s="1"/>
  <c r="X24" i="81"/>
  <c r="O22" i="82" s="1"/>
  <c r="W24" i="81"/>
  <c r="N22" i="82" s="1"/>
  <c r="V24" i="81"/>
  <c r="M22" i="82" s="1"/>
  <c r="P24" i="81"/>
  <c r="G22" i="82" s="1"/>
  <c r="O24" i="81"/>
  <c r="F22" i="82" s="1"/>
  <c r="N24" i="81"/>
  <c r="E22" i="82" s="1"/>
  <c r="L24" i="81"/>
  <c r="C22" i="82" s="1"/>
  <c r="K24" i="81"/>
  <c r="AT24" i="81"/>
  <c r="AU24" i="81" s="1"/>
  <c r="AV24" i="81" s="1"/>
  <c r="J23" i="81"/>
  <c r="K23" i="81" s="1"/>
  <c r="J22" i="81"/>
  <c r="K22" i="81" s="1"/>
  <c r="R22" i="81" s="1"/>
  <c r="Z24" i="81"/>
  <c r="Q22" i="82" s="1"/>
  <c r="U10" i="81"/>
  <c r="U9" i="81"/>
  <c r="T8" i="81"/>
  <c r="S8" i="81"/>
  <c r="R8" i="81"/>
  <c r="U7" i="81"/>
  <c r="U6" i="81"/>
  <c r="U8" i="81"/>
  <c r="S23" i="81"/>
  <c r="Q23" i="81"/>
  <c r="T23" i="81" s="1"/>
  <c r="U23" i="81" s="1"/>
  <c r="AT23" i="81"/>
  <c r="AU23" i="81" s="1"/>
  <c r="AV23" i="81" s="1"/>
  <c r="AN23" i="81" s="1"/>
  <c r="R23" i="81"/>
  <c r="M23" i="81"/>
  <c r="AG24" i="81"/>
  <c r="X22" i="82" s="1"/>
  <c r="AT22" i="81"/>
  <c r="AU22" i="81" s="1"/>
  <c r="AV22" i="81" s="1"/>
  <c r="AN22" i="81" s="1"/>
  <c r="S22" i="81"/>
  <c r="S24" i="81" s="1"/>
  <c r="J22" i="82" s="1"/>
  <c r="AP50" i="80"/>
  <c r="I50" i="80"/>
  <c r="J50" i="80" s="1"/>
  <c r="L50" i="80" s="1"/>
  <c r="AP49" i="80"/>
  <c r="I49" i="80"/>
  <c r="J49" i="80" s="1"/>
  <c r="L49" i="80" s="1"/>
  <c r="AP48" i="80"/>
  <c r="I48" i="80"/>
  <c r="J48" i="80" s="1"/>
  <c r="L48" i="80" s="1"/>
  <c r="AP47" i="80"/>
  <c r="I47" i="80"/>
  <c r="AS47" i="80"/>
  <c r="AT47" i="80" s="1"/>
  <c r="AU47" i="80" s="1"/>
  <c r="Q49" i="80"/>
  <c r="R50" i="80"/>
  <c r="AS50" i="80"/>
  <c r="AT50" i="80" s="1"/>
  <c r="AU50" i="80" s="1"/>
  <c r="R48" i="80"/>
  <c r="R49" i="80"/>
  <c r="AO51" i="80"/>
  <c r="AG21" i="82" s="1"/>
  <c r="AN51" i="80"/>
  <c r="AF21" i="82" s="1"/>
  <c r="AK51" i="80"/>
  <c r="AC21" i="82" s="1"/>
  <c r="AJ51" i="80"/>
  <c r="AB21" i="82" s="1"/>
  <c r="AI51" i="80"/>
  <c r="AA21" i="82" s="1"/>
  <c r="AE51" i="80"/>
  <c r="W21" i="82" s="1"/>
  <c r="AD51" i="80"/>
  <c r="V21" i="82" s="1"/>
  <c r="AC51" i="80"/>
  <c r="U21" i="82" s="1"/>
  <c r="AB51" i="80"/>
  <c r="T21" i="82" s="1"/>
  <c r="AA51" i="80"/>
  <c r="S21" i="82" s="1"/>
  <c r="Z51" i="80"/>
  <c r="R21" i="82" s="1"/>
  <c r="Y51" i="80"/>
  <c r="Q21" i="82" s="1"/>
  <c r="X51" i="80"/>
  <c r="P21" i="82" s="1"/>
  <c r="W51" i="80"/>
  <c r="O21" i="82" s="1"/>
  <c r="V51" i="80"/>
  <c r="N21" i="82" s="1"/>
  <c r="U51" i="80"/>
  <c r="M21" i="82" s="1"/>
  <c r="O51" i="80"/>
  <c r="G21" i="82" s="1"/>
  <c r="N51" i="80"/>
  <c r="F21" i="82" s="1"/>
  <c r="M51" i="80"/>
  <c r="E21" i="82" s="1"/>
  <c r="K51" i="80"/>
  <c r="C21" i="82" s="1"/>
  <c r="AS46" i="80"/>
  <c r="AT46" i="80" s="1"/>
  <c r="AU46" i="80" s="1"/>
  <c r="T39" i="80"/>
  <c r="T38" i="80"/>
  <c r="T37" i="80"/>
  <c r="T36" i="80"/>
  <c r="T35" i="80"/>
  <c r="T34" i="80"/>
  <c r="T33" i="80"/>
  <c r="T32" i="80"/>
  <c r="AO24" i="80"/>
  <c r="AG11" i="82" s="1"/>
  <c r="AN24" i="80"/>
  <c r="AF11" i="82" s="1"/>
  <c r="AK24" i="80"/>
  <c r="AC11" i="82" s="1"/>
  <c r="AJ24" i="80"/>
  <c r="AB11" i="82" s="1"/>
  <c r="AI24" i="80"/>
  <c r="AA11" i="82" s="1"/>
  <c r="AE24" i="80"/>
  <c r="W11" i="82" s="1"/>
  <c r="AD24" i="80"/>
  <c r="V11" i="82" s="1"/>
  <c r="AC24" i="80"/>
  <c r="U11" i="82" s="1"/>
  <c r="AB24" i="80"/>
  <c r="T11" i="82" s="1"/>
  <c r="AA24" i="80"/>
  <c r="S11" i="82" s="1"/>
  <c r="Z24" i="80"/>
  <c r="R11" i="82" s="1"/>
  <c r="Y24" i="80"/>
  <c r="Q11" i="82" s="1"/>
  <c r="X24" i="80"/>
  <c r="P11" i="82" s="1"/>
  <c r="W24" i="80"/>
  <c r="O11" i="82" s="1"/>
  <c r="V24" i="80"/>
  <c r="N11" i="82" s="1"/>
  <c r="U24" i="80"/>
  <c r="M11" i="82" s="1"/>
  <c r="O24" i="80"/>
  <c r="G11" i="82" s="1"/>
  <c r="N24" i="80"/>
  <c r="F11" i="82" s="1"/>
  <c r="M24" i="80"/>
  <c r="E11" i="82" s="1"/>
  <c r="K24" i="80"/>
  <c r="C11" i="82" s="1"/>
  <c r="I23" i="80"/>
  <c r="AS23" i="80"/>
  <c r="AT23" i="80" s="1"/>
  <c r="AU23" i="80" s="1"/>
  <c r="I22" i="80"/>
  <c r="L22" i="80" s="1"/>
  <c r="R22" i="80"/>
  <c r="AP21" i="80"/>
  <c r="I21" i="80"/>
  <c r="Q21" i="80" s="1"/>
  <c r="AP20" i="80"/>
  <c r="I20" i="80"/>
  <c r="L20" i="80" s="1"/>
  <c r="I19" i="80"/>
  <c r="L19" i="80" s="1"/>
  <c r="I18" i="80"/>
  <c r="AS18" i="80" s="1"/>
  <c r="AT18" i="80" s="1"/>
  <c r="AU18" i="80" s="1"/>
  <c r="I17" i="80"/>
  <c r="Q17" i="80" s="1"/>
  <c r="T9" i="80"/>
  <c r="T8" i="80"/>
  <c r="T7" i="80"/>
  <c r="T6" i="80"/>
  <c r="T5" i="80"/>
  <c r="T4" i="80"/>
  <c r="T3" i="80"/>
  <c r="T2" i="80"/>
  <c r="T3" i="62"/>
  <c r="T4" i="62"/>
  <c r="T5" i="62"/>
  <c r="T6" i="62"/>
  <c r="T7" i="62"/>
  <c r="T10" i="62"/>
  <c r="I18" i="62"/>
  <c r="I19" i="62"/>
  <c r="J19" i="62" s="1"/>
  <c r="L19" i="62" s="1"/>
  <c r="I20" i="62"/>
  <c r="J20" i="62" s="1"/>
  <c r="L20" i="62" s="1"/>
  <c r="I21" i="62"/>
  <c r="J21" i="62" s="1"/>
  <c r="I22" i="62"/>
  <c r="J22" i="62" s="1"/>
  <c r="I23" i="62"/>
  <c r="J23" i="62" s="1"/>
  <c r="L23" i="62" s="1"/>
  <c r="I24" i="62"/>
  <c r="J24" i="62" s="1"/>
  <c r="L24" i="62" s="1"/>
  <c r="I25" i="62"/>
  <c r="J25" i="62" s="1"/>
  <c r="L25" i="62" s="1"/>
  <c r="I26" i="62"/>
  <c r="J26" i="62" s="1"/>
  <c r="L26" i="62" s="1"/>
  <c r="I27" i="62"/>
  <c r="J27" i="62" s="1"/>
  <c r="L27" i="62" s="1"/>
  <c r="I28" i="62"/>
  <c r="J28" i="62" s="1"/>
  <c r="L28" i="62" s="1"/>
  <c r="I29" i="62"/>
  <c r="J29" i="62" s="1"/>
  <c r="L29" i="62" s="1"/>
  <c r="I30" i="62"/>
  <c r="J30" i="62" s="1"/>
  <c r="L30" i="62" s="1"/>
  <c r="I31" i="62"/>
  <c r="J31" i="62" s="1"/>
  <c r="L31" i="62" s="1"/>
  <c r="I32" i="62"/>
  <c r="J32" i="62" s="1"/>
  <c r="I33" i="62"/>
  <c r="J33" i="62" s="1"/>
  <c r="L33" i="62" s="1"/>
  <c r="I34" i="62"/>
  <c r="J34" i="62" s="1"/>
  <c r="L34" i="62" s="1"/>
  <c r="I35" i="62"/>
  <c r="J35" i="62" s="1"/>
  <c r="L35" i="62" s="1"/>
  <c r="I36" i="62"/>
  <c r="J36" i="62" s="1"/>
  <c r="L36" i="62" s="1"/>
  <c r="I37" i="62"/>
  <c r="J37" i="62" s="1"/>
  <c r="L37" i="62" s="1"/>
  <c r="I38" i="62"/>
  <c r="J38" i="62" s="1"/>
  <c r="L38" i="62" s="1"/>
  <c r="I39" i="62"/>
  <c r="J39" i="62" s="1"/>
  <c r="L39" i="62" s="1"/>
  <c r="I40" i="62"/>
  <c r="J40" i="62" s="1"/>
  <c r="L40" i="62" s="1"/>
  <c r="I42" i="62"/>
  <c r="J42" i="62" s="1"/>
  <c r="L42" i="62" s="1"/>
  <c r="I44" i="62"/>
  <c r="J44" i="62" s="1"/>
  <c r="L44" i="62" s="1"/>
  <c r="I45" i="62"/>
  <c r="J45" i="62" s="1"/>
  <c r="L45" i="62" s="1"/>
  <c r="I46" i="62"/>
  <c r="J46" i="62" s="1"/>
  <c r="L46" i="62" s="1"/>
  <c r="P18" i="80"/>
  <c r="P17" i="80"/>
  <c r="P24" i="80" s="1"/>
  <c r="H11" i="82" s="1"/>
  <c r="AS17" i="80"/>
  <c r="AT17" i="80" s="1"/>
  <c r="AU17" i="80" s="1"/>
  <c r="R17" i="80"/>
  <c r="R18" i="80"/>
  <c r="R21" i="80"/>
  <c r="AS21" i="80"/>
  <c r="AT21" i="80" s="1"/>
  <c r="AU21" i="80" s="1"/>
  <c r="AS22" i="80"/>
  <c r="AT22" i="80" s="1"/>
  <c r="AU22" i="80" s="1"/>
  <c r="Q20" i="80"/>
  <c r="Q22" i="80"/>
  <c r="Q18" i="80"/>
  <c r="S18" i="80" s="1"/>
  <c r="Q19" i="80"/>
  <c r="P20" i="80"/>
  <c r="R20" i="80"/>
  <c r="R24" i="80" s="1"/>
  <c r="J11" i="82" s="1"/>
  <c r="P22" i="80"/>
  <c r="P19" i="80"/>
  <c r="R19" i="80"/>
  <c r="Q23" i="80"/>
  <c r="S23" i="80" s="1"/>
  <c r="AM23" i="80" s="1"/>
  <c r="P23" i="80"/>
  <c r="R23" i="80"/>
  <c r="AG24" i="80"/>
  <c r="Y11" i="82" s="1"/>
  <c r="AG51" i="80"/>
  <c r="Y21" i="82" s="1"/>
  <c r="AH51" i="80"/>
  <c r="Z21" i="82" s="1"/>
  <c r="AP22" i="80"/>
  <c r="AP19" i="80"/>
  <c r="AH24" i="80"/>
  <c r="Z11" i="82" s="1"/>
  <c r="AV45" i="62"/>
  <c r="AW45" i="62" s="1"/>
  <c r="AV29" i="62"/>
  <c r="AW29" i="62" s="1"/>
  <c r="T7" i="83"/>
  <c r="AS40" i="83"/>
  <c r="AT40" i="83"/>
  <c r="AU40" i="83" s="1"/>
  <c r="AM40" i="83" s="1"/>
  <c r="AP40" i="83" s="1"/>
  <c r="R40" i="83"/>
  <c r="Q40" i="83"/>
  <c r="T55" i="83"/>
  <c r="AS86" i="83"/>
  <c r="AT86" i="83" s="1"/>
  <c r="AU86" i="83" s="1"/>
  <c r="AM86" i="83" s="1"/>
  <c r="P20" i="83"/>
  <c r="R23" i="83"/>
  <c r="Q25" i="83"/>
  <c r="Q28" i="83"/>
  <c r="Q31" i="83"/>
  <c r="Q33" i="83"/>
  <c r="Q35" i="83"/>
  <c r="P39" i="83"/>
  <c r="S39" i="83" s="1"/>
  <c r="T39" i="83" s="1"/>
  <c r="AQ39" i="83" s="1"/>
  <c r="AR39" i="83" s="1"/>
  <c r="R76" i="83"/>
  <c r="Q82" i="83"/>
  <c r="Q83" i="83"/>
  <c r="AS84" i="83"/>
  <c r="AT84" i="83" s="1"/>
  <c r="AU84" i="83" s="1"/>
  <c r="AM84" i="83" s="1"/>
  <c r="R20" i="83"/>
  <c r="P23" i="83"/>
  <c r="AS23" i="83"/>
  <c r="AT23" i="83" s="1"/>
  <c r="AU23" i="83" s="1"/>
  <c r="AM23" i="83" s="1"/>
  <c r="Q26" i="83"/>
  <c r="Q27" i="83"/>
  <c r="AS28" i="83"/>
  <c r="AT28" i="83" s="1"/>
  <c r="AU28" i="83" s="1"/>
  <c r="AM28" i="83" s="1"/>
  <c r="AP28" i="83" s="1"/>
  <c r="AS33" i="83"/>
  <c r="AT33" i="83" s="1"/>
  <c r="AU33" i="83" s="1"/>
  <c r="AM33" i="83" s="1"/>
  <c r="AP33" i="83" s="1"/>
  <c r="R39" i="83"/>
  <c r="P18" i="83"/>
  <c r="R18" i="83"/>
  <c r="AS18" i="83"/>
  <c r="P19" i="83"/>
  <c r="R19" i="83"/>
  <c r="AS19" i="83"/>
  <c r="AT19" i="83" s="1"/>
  <c r="AU19" i="83" s="1"/>
  <c r="AM19" i="83" s="1"/>
  <c r="Q20" i="83"/>
  <c r="Q21" i="83"/>
  <c r="Q22" i="83"/>
  <c r="AS22" i="83"/>
  <c r="AT22" i="83" s="1"/>
  <c r="AU22" i="83" s="1"/>
  <c r="AM22" i="83" s="1"/>
  <c r="AP22" i="83" s="1"/>
  <c r="Q24" i="83"/>
  <c r="P21" i="83"/>
  <c r="R21" i="83"/>
  <c r="P22" i="83"/>
  <c r="R24" i="83"/>
  <c r="AS24" i="83"/>
  <c r="AT24" i="83" s="1"/>
  <c r="AU24" i="83" s="1"/>
  <c r="AM24" i="83" s="1"/>
  <c r="P25" i="83"/>
  <c r="R25" i="83"/>
  <c r="P26" i="83"/>
  <c r="R26" i="83"/>
  <c r="P27" i="83"/>
  <c r="R27" i="83"/>
  <c r="P28" i="83"/>
  <c r="Q29" i="83"/>
  <c r="Q30" i="83"/>
  <c r="P31" i="83"/>
  <c r="R31" i="83"/>
  <c r="S31" i="83" s="1"/>
  <c r="T31" i="83" s="1"/>
  <c r="AH31" i="83" s="1"/>
  <c r="AQ31" i="83" s="1"/>
  <c r="Q32" i="83"/>
  <c r="S32" i="83" s="1"/>
  <c r="P33" i="83"/>
  <c r="Q34" i="83"/>
  <c r="P35" i="83"/>
  <c r="R35" i="83"/>
  <c r="Q36" i="83"/>
  <c r="AS36" i="83"/>
  <c r="AT36" i="83" s="1"/>
  <c r="AU36" i="83" s="1"/>
  <c r="AM36" i="83" s="1"/>
  <c r="AP36" i="83" s="1"/>
  <c r="Q37" i="83"/>
  <c r="AS37" i="83"/>
  <c r="AT37" i="83" s="1"/>
  <c r="AU37" i="83" s="1"/>
  <c r="AM37" i="83" s="1"/>
  <c r="AP37" i="83" s="1"/>
  <c r="Q38" i="83"/>
  <c r="AS38" i="83"/>
  <c r="AT38" i="83" s="1"/>
  <c r="AU38" i="83" s="1"/>
  <c r="AM38" i="83" s="1"/>
  <c r="AP38" i="83" s="1"/>
  <c r="Q39" i="83"/>
  <c r="P41" i="83"/>
  <c r="S41" i="83" s="1"/>
  <c r="T41" i="83" s="1"/>
  <c r="R41" i="83"/>
  <c r="P29" i="83"/>
  <c r="R29" i="83"/>
  <c r="P30" i="83"/>
  <c r="S30" i="83" s="1"/>
  <c r="T30" i="83" s="1"/>
  <c r="R30" i="83"/>
  <c r="P32" i="83"/>
  <c r="R32" i="83"/>
  <c r="P34" i="83"/>
  <c r="R34" i="83"/>
  <c r="P36" i="83"/>
  <c r="P37" i="83"/>
  <c r="P38" i="83"/>
  <c r="S38" i="83" s="1"/>
  <c r="T38" i="83" s="1"/>
  <c r="AQ38" i="83" s="1"/>
  <c r="AR38" i="83" s="1"/>
  <c r="Q41" i="83"/>
  <c r="Q76" i="83"/>
  <c r="P76" i="83"/>
  <c r="P82" i="83"/>
  <c r="AS82" i="83"/>
  <c r="AT82" i="83" s="1"/>
  <c r="AU82" i="83" s="1"/>
  <c r="AM82" i="83" s="1"/>
  <c r="P83" i="83"/>
  <c r="R83" i="83"/>
  <c r="AS83" i="83"/>
  <c r="AT83" i="83" s="1"/>
  <c r="AU83" i="83" s="1"/>
  <c r="AM83" i="83" s="1"/>
  <c r="P84" i="83"/>
  <c r="R86" i="83"/>
  <c r="Q86" i="83"/>
  <c r="Q84" i="83"/>
  <c r="S84" i="83" s="1"/>
  <c r="P86" i="83"/>
  <c r="R84" i="83"/>
  <c r="R82" i="83"/>
  <c r="AS76" i="83"/>
  <c r="AT76" i="83" s="1"/>
  <c r="AU76" i="83" s="1"/>
  <c r="AM76" i="83" s="1"/>
  <c r="S35" i="83"/>
  <c r="T35" i="83" s="1"/>
  <c r="AH35" i="83" s="1"/>
  <c r="AQ35" i="83" s="1"/>
  <c r="S25" i="83"/>
  <c r="T25" i="83" s="1"/>
  <c r="Q75" i="83"/>
  <c r="S75" i="83" s="1"/>
  <c r="T75" i="83" s="1"/>
  <c r="AS75" i="83"/>
  <c r="AT75" i="83" s="1"/>
  <c r="AU75" i="83" s="1"/>
  <c r="AM75" i="83" s="1"/>
  <c r="R75" i="83"/>
  <c r="P75" i="83"/>
  <c r="AS69" i="83"/>
  <c r="AT69" i="83" s="1"/>
  <c r="AU69" i="83" s="1"/>
  <c r="AM69" i="83" s="1"/>
  <c r="Q69" i="83"/>
  <c r="R69" i="83"/>
  <c r="AF69" i="83" s="1"/>
  <c r="AP69" i="83" s="1"/>
  <c r="P69" i="83"/>
  <c r="S29" i="83"/>
  <c r="T29" i="83" s="1"/>
  <c r="AH29" i="83" s="1"/>
  <c r="S20" i="83"/>
  <c r="T20" i="83" s="1"/>
  <c r="Q74" i="83"/>
  <c r="AS74" i="83"/>
  <c r="AT74" i="83" s="1"/>
  <c r="AU74" i="83" s="1"/>
  <c r="AM74" i="83" s="1"/>
  <c r="R74" i="83"/>
  <c r="P74" i="83"/>
  <c r="S86" i="83"/>
  <c r="T86" i="83" s="1"/>
  <c r="S34" i="83"/>
  <c r="T34" i="83" s="1"/>
  <c r="AH34" i="83" s="1"/>
  <c r="AQ34" i="83" s="1"/>
  <c r="S27" i="83"/>
  <c r="AF27" i="83" s="1"/>
  <c r="S26" i="83"/>
  <c r="T26" i="83" s="1"/>
  <c r="AG26" i="83" s="1"/>
  <c r="AF25" i="83"/>
  <c r="S69" i="83"/>
  <c r="T69" i="83" s="1"/>
  <c r="AA13" i="82"/>
  <c r="Q87" i="83"/>
  <c r="P87" i="83"/>
  <c r="AS87" i="83"/>
  <c r="AT87" i="83" s="1"/>
  <c r="AU87" i="83" s="1"/>
  <c r="AM87" i="83" s="1"/>
  <c r="R87" i="83"/>
  <c r="S37" i="83"/>
  <c r="S36" i="83"/>
  <c r="T36" i="83" s="1"/>
  <c r="AQ36" i="83" s="1"/>
  <c r="AR36" i="83" s="1"/>
  <c r="R88" i="83"/>
  <c r="AS88" i="83"/>
  <c r="AT88" i="83" s="1"/>
  <c r="AU88" i="83" s="1"/>
  <c r="AM88" i="83" s="1"/>
  <c r="Q88" i="83"/>
  <c r="P88" i="83"/>
  <c r="AD13" i="82"/>
  <c r="AB13" i="82"/>
  <c r="W13" i="82"/>
  <c r="U13" i="82"/>
  <c r="S13" i="82"/>
  <c r="Q13" i="82"/>
  <c r="O13" i="82"/>
  <c r="M13" i="82"/>
  <c r="F13" i="82"/>
  <c r="AP86" i="83"/>
  <c r="C13" i="82"/>
  <c r="AF13" i="82"/>
  <c r="AC13" i="82"/>
  <c r="V13" i="82"/>
  <c r="T13" i="82"/>
  <c r="R13" i="82"/>
  <c r="P13" i="82"/>
  <c r="N13" i="82"/>
  <c r="G13" i="82"/>
  <c r="E13" i="82"/>
  <c r="T37" i="83"/>
  <c r="S18" i="83" l="1"/>
  <c r="T18" i="83" s="1"/>
  <c r="AF21" i="83"/>
  <c r="T19" i="83"/>
  <c r="AF75" i="83"/>
  <c r="AP75" i="83" s="1"/>
  <c r="AM18" i="80"/>
  <c r="T18" i="80"/>
  <c r="T32" i="83"/>
  <c r="AH32" i="83" s="1"/>
  <c r="S21" i="83"/>
  <c r="T21" i="83" s="1"/>
  <c r="R24" i="81"/>
  <c r="I22" i="82" s="1"/>
  <c r="S19" i="83"/>
  <c r="AF19" i="83" s="1"/>
  <c r="AV34" i="62"/>
  <c r="AW34" i="62" s="1"/>
  <c r="T23" i="80"/>
  <c r="AV20" i="62"/>
  <c r="AW20" i="62" s="1"/>
  <c r="AQ37" i="83"/>
  <c r="AR37" i="83" s="1"/>
  <c r="AV44" i="62"/>
  <c r="AW44" i="62" s="1"/>
  <c r="AV32" i="62"/>
  <c r="AW32" i="62" s="1"/>
  <c r="L32" i="62"/>
  <c r="AV22" i="62"/>
  <c r="AW22" i="62" s="1"/>
  <c r="AX22" i="62" s="1"/>
  <c r="AQ22" i="62" s="1"/>
  <c r="L22" i="62"/>
  <c r="AX34" i="62"/>
  <c r="AQ34" i="62" s="1"/>
  <c r="AX45" i="62"/>
  <c r="AQ45" i="62" s="1"/>
  <c r="AT45" i="62" s="1"/>
  <c r="R45" i="62"/>
  <c r="Q45" i="62"/>
  <c r="P45" i="62"/>
  <c r="R42" i="62"/>
  <c r="Q42" i="62"/>
  <c r="P42" i="62"/>
  <c r="P40" i="62"/>
  <c r="R40" i="62"/>
  <c r="Q40" i="62"/>
  <c r="Q38" i="62"/>
  <c r="P38" i="62"/>
  <c r="R38" i="62"/>
  <c r="R36" i="62"/>
  <c r="Q36" i="62"/>
  <c r="P36" i="62"/>
  <c r="P34" i="62"/>
  <c r="R34" i="62"/>
  <c r="Q34" i="62"/>
  <c r="AX32" i="62"/>
  <c r="AQ32" i="62" s="1"/>
  <c r="AT32" i="62" s="1"/>
  <c r="P29" i="62"/>
  <c r="R29" i="62"/>
  <c r="Q29" i="62"/>
  <c r="Q27" i="62"/>
  <c r="P27" i="62"/>
  <c r="R27" i="62"/>
  <c r="R24" i="62"/>
  <c r="Q24" i="62"/>
  <c r="P24" i="62"/>
  <c r="R21" i="62"/>
  <c r="Q21" i="62"/>
  <c r="P21" i="62"/>
  <c r="P20" i="62"/>
  <c r="R20" i="62"/>
  <c r="Q20" i="62"/>
  <c r="AX29" i="62"/>
  <c r="AQ29" i="62" s="1"/>
  <c r="AX44" i="62"/>
  <c r="AQ44" i="62" s="1"/>
  <c r="AT44" i="62" s="1"/>
  <c r="P46" i="62"/>
  <c r="R46" i="62"/>
  <c r="Q46" i="62"/>
  <c r="Q44" i="62"/>
  <c r="R44" i="62"/>
  <c r="P44" i="62"/>
  <c r="R39" i="62"/>
  <c r="Q39" i="62"/>
  <c r="P39" i="62"/>
  <c r="R37" i="62"/>
  <c r="Q37" i="62"/>
  <c r="P37" i="62"/>
  <c r="R35" i="62"/>
  <c r="Q35" i="62"/>
  <c r="P35" i="62"/>
  <c r="R33" i="62"/>
  <c r="Q33" i="62"/>
  <c r="P33" i="62"/>
  <c r="Q32" i="62"/>
  <c r="R32" i="62"/>
  <c r="P32" i="62"/>
  <c r="R30" i="62"/>
  <c r="Q30" i="62"/>
  <c r="P30" i="62"/>
  <c r="R28" i="62"/>
  <c r="Q28" i="62"/>
  <c r="P28" i="62"/>
  <c r="R22" i="62"/>
  <c r="Q22" i="62"/>
  <c r="P22" i="62"/>
  <c r="AX20" i="62"/>
  <c r="AQ20" i="62" s="1"/>
  <c r="R19" i="62"/>
  <c r="Q19" i="62"/>
  <c r="P19" i="62"/>
  <c r="AV40" i="62"/>
  <c r="AW40" i="62" s="1"/>
  <c r="AV24" i="62"/>
  <c r="AW24" i="62" s="1"/>
  <c r="R31" i="62"/>
  <c r="P31" i="62"/>
  <c r="Q31" i="62"/>
  <c r="AV31" i="62"/>
  <c r="AW31" i="62" s="1"/>
  <c r="Q26" i="62"/>
  <c r="R26" i="62"/>
  <c r="P26" i="62"/>
  <c r="R25" i="62"/>
  <c r="Q25" i="62"/>
  <c r="P25" i="62"/>
  <c r="Q23" i="62"/>
  <c r="R23" i="62"/>
  <c r="P23" i="62"/>
  <c r="AV19" i="62"/>
  <c r="AW19" i="62" s="1"/>
  <c r="AV28" i="62"/>
  <c r="AW28" i="62" s="1"/>
  <c r="J18" i="62"/>
  <c r="I48" i="62"/>
  <c r="AV39" i="62"/>
  <c r="AW39" i="62" s="1"/>
  <c r="AV35" i="62"/>
  <c r="AW35" i="62" s="1"/>
  <c r="AV30" i="62"/>
  <c r="AW30" i="62" s="1"/>
  <c r="AV26" i="62"/>
  <c r="AW26" i="62" s="1"/>
  <c r="Q48" i="80"/>
  <c r="AV25" i="62"/>
  <c r="AW25" i="62" s="1"/>
  <c r="AV42" i="62"/>
  <c r="AW42" i="62" s="1"/>
  <c r="S40" i="62"/>
  <c r="AV37" i="62"/>
  <c r="AW37" i="62" s="1"/>
  <c r="S34" i="62"/>
  <c r="S31" i="62"/>
  <c r="T31" i="62" s="1"/>
  <c r="S87" i="83"/>
  <c r="AP87" i="83" s="1"/>
  <c r="Q22" i="81"/>
  <c r="Q24" i="81" s="1"/>
  <c r="H22" i="82" s="1"/>
  <c r="M22" i="81"/>
  <c r="S17" i="80"/>
  <c r="T17" i="80" s="1"/>
  <c r="Q24" i="80"/>
  <c r="I11" i="82" s="1"/>
  <c r="AS49" i="80"/>
  <c r="AT49" i="80" s="1"/>
  <c r="AU49" i="80" s="1"/>
  <c r="AS19" i="80"/>
  <c r="AT19" i="80" s="1"/>
  <c r="AU19" i="80" s="1"/>
  <c r="AS20" i="80"/>
  <c r="AT20" i="80" s="1"/>
  <c r="AU20" i="80" s="1"/>
  <c r="S19" i="80"/>
  <c r="S20" i="80"/>
  <c r="T20" i="80" s="1"/>
  <c r="AP23" i="80"/>
  <c r="AQ23" i="80"/>
  <c r="AR23" i="80" s="1"/>
  <c r="AP18" i="80"/>
  <c r="S22" i="80"/>
  <c r="T22" i="80"/>
  <c r="AQ22" i="80" s="1"/>
  <c r="AR22" i="80" s="1"/>
  <c r="Q47" i="80"/>
  <c r="J47" i="80"/>
  <c r="G14" i="82"/>
  <c r="P14" i="82"/>
  <c r="T14" i="82"/>
  <c r="AC14" i="82"/>
  <c r="M14" i="82"/>
  <c r="Q14" i="82"/>
  <c r="U14" i="82"/>
  <c r="AB14" i="82"/>
  <c r="AA14" i="82"/>
  <c r="AS48" i="80"/>
  <c r="AT48" i="80" s="1"/>
  <c r="AU48" i="80" s="1"/>
  <c r="Q50" i="80"/>
  <c r="Q51" i="80" s="1"/>
  <c r="I21" i="82" s="1"/>
  <c r="P50" i="80"/>
  <c r="P48" i="80"/>
  <c r="L21" i="80"/>
  <c r="S21" i="80" s="1"/>
  <c r="T21" i="80" s="1"/>
  <c r="E14" i="82"/>
  <c r="N14" i="82"/>
  <c r="R14" i="82"/>
  <c r="V14" i="82"/>
  <c r="AF14" i="82"/>
  <c r="F14" i="82"/>
  <c r="O14" i="82"/>
  <c r="S14" i="82"/>
  <c r="W14" i="82"/>
  <c r="P49" i="80"/>
  <c r="T84" i="83"/>
  <c r="AG84" i="83"/>
  <c r="AP84" i="83" s="1"/>
  <c r="AR84" i="83" s="1"/>
  <c r="J91" i="83"/>
  <c r="AS91" i="83" s="1"/>
  <c r="AT91" i="83" s="1"/>
  <c r="AU91" i="83" s="1"/>
  <c r="AM91" i="83" s="1"/>
  <c r="S74" i="83"/>
  <c r="AQ23" i="81"/>
  <c r="AR23" i="81"/>
  <c r="AQ22" i="81"/>
  <c r="AN24" i="81"/>
  <c r="AE22" i="82" s="1"/>
  <c r="AF51" i="80"/>
  <c r="X21" i="82" s="1"/>
  <c r="S44" i="62"/>
  <c r="S29" i="62"/>
  <c r="S35" i="62"/>
  <c r="T35" i="62" s="1"/>
  <c r="S26" i="62"/>
  <c r="S24" i="62"/>
  <c r="S22" i="62"/>
  <c r="AM22" i="62" s="1"/>
  <c r="S20" i="62"/>
  <c r="T20" i="62" s="1"/>
  <c r="S19" i="62"/>
  <c r="AM19" i="62" s="1"/>
  <c r="AV38" i="62"/>
  <c r="AW38" i="62" s="1"/>
  <c r="T40" i="62"/>
  <c r="AV27" i="62"/>
  <c r="AW27" i="62" s="1"/>
  <c r="AV23" i="62"/>
  <c r="AW23" i="62" s="1"/>
  <c r="AV21" i="62"/>
  <c r="AW21" i="62" s="1"/>
  <c r="AV36" i="62"/>
  <c r="AW36" i="62" s="1"/>
  <c r="AV46" i="62"/>
  <c r="AW46" i="62" s="1"/>
  <c r="AV33" i="62"/>
  <c r="S45" i="62"/>
  <c r="T26" i="62"/>
  <c r="T24" i="62"/>
  <c r="T22" i="62"/>
  <c r="AM20" i="62"/>
  <c r="T19" i="62"/>
  <c r="AN40" i="62"/>
  <c r="AQ69" i="83"/>
  <c r="AR69" i="83" s="1"/>
  <c r="S76" i="83"/>
  <c r="T76" i="83" s="1"/>
  <c r="S82" i="83"/>
  <c r="T82" i="83" s="1"/>
  <c r="AG74" i="83"/>
  <c r="T74" i="83"/>
  <c r="S83" i="83"/>
  <c r="AH83" i="83" s="1"/>
  <c r="S28" i="83"/>
  <c r="T28" i="83" s="1"/>
  <c r="AQ28" i="83" s="1"/>
  <c r="AR28" i="83" s="1"/>
  <c r="S33" i="83"/>
  <c r="T33" i="83"/>
  <c r="AQ33" i="83" s="1"/>
  <c r="AR33" i="83" s="1"/>
  <c r="AQ32" i="83"/>
  <c r="R44" i="83"/>
  <c r="AP21" i="83"/>
  <c r="AQ19" i="83"/>
  <c r="T87" i="83"/>
  <c r="AQ87" i="83" s="1"/>
  <c r="AR87" i="83" s="1"/>
  <c r="AQ75" i="83"/>
  <c r="AR75" i="83" s="1"/>
  <c r="T27" i="83"/>
  <c r="AQ27" i="83" s="1"/>
  <c r="AQ21" i="83"/>
  <c r="AR21" i="83" s="1"/>
  <c r="AS44" i="83"/>
  <c r="R47" i="80"/>
  <c r="R51" i="80" s="1"/>
  <c r="J21" i="82" s="1"/>
  <c r="AQ21" i="80"/>
  <c r="S24" i="80"/>
  <c r="K11" i="82" s="1"/>
  <c r="C14" i="82"/>
  <c r="C24" i="82"/>
  <c r="F24" i="82"/>
  <c r="M24" i="82"/>
  <c r="O24" i="82"/>
  <c r="Q24" i="82"/>
  <c r="S24" i="82"/>
  <c r="U24" i="82"/>
  <c r="W24" i="82"/>
  <c r="AB24" i="82"/>
  <c r="E24" i="82"/>
  <c r="G24" i="82"/>
  <c r="N24" i="82"/>
  <c r="P24" i="82"/>
  <c r="R24" i="82"/>
  <c r="T24" i="82"/>
  <c r="V24" i="82"/>
  <c r="AA24" i="82"/>
  <c r="AC24" i="82"/>
  <c r="AF24" i="82"/>
  <c r="S23" i="83"/>
  <c r="T23" i="83" s="1"/>
  <c r="AQ25" i="83"/>
  <c r="AP25" i="83"/>
  <c r="AQ26" i="83"/>
  <c r="AP26" i="83"/>
  <c r="Q66" i="83"/>
  <c r="AS66" i="83"/>
  <c r="R66" i="83"/>
  <c r="P66" i="83"/>
  <c r="P68" i="83"/>
  <c r="AS68" i="83"/>
  <c r="AT68" i="83" s="1"/>
  <c r="AU68" i="83" s="1"/>
  <c r="AM68" i="83" s="1"/>
  <c r="Q68" i="83"/>
  <c r="R68" i="83"/>
  <c r="P70" i="83"/>
  <c r="R70" i="83"/>
  <c r="Q70" i="83"/>
  <c r="AS70" i="83"/>
  <c r="AT70" i="83" s="1"/>
  <c r="AU70" i="83" s="1"/>
  <c r="AM70" i="83" s="1"/>
  <c r="P72" i="83"/>
  <c r="R72" i="83"/>
  <c r="AS72" i="83"/>
  <c r="AT72" i="83" s="1"/>
  <c r="AU72" i="83" s="1"/>
  <c r="AM72" i="83" s="1"/>
  <c r="Q72" i="83"/>
  <c r="R78" i="83"/>
  <c r="AS78" i="83"/>
  <c r="Q78" i="83"/>
  <c r="P78" i="83"/>
  <c r="R80" i="83"/>
  <c r="AS80" i="83"/>
  <c r="AT80" i="83" s="1"/>
  <c r="AU80" i="83" s="1"/>
  <c r="AM80" i="83" s="1"/>
  <c r="Q80" i="83"/>
  <c r="P80" i="83"/>
  <c r="R89" i="83"/>
  <c r="P89" i="83"/>
  <c r="AS89" i="83"/>
  <c r="AT89" i="83" s="1"/>
  <c r="AU89" i="83" s="1"/>
  <c r="AM89" i="83" s="1"/>
  <c r="Q89" i="83"/>
  <c r="AQ20" i="83"/>
  <c r="AR20" i="83" s="1"/>
  <c r="AP19" i="83"/>
  <c r="AR19" i="83" s="1"/>
  <c r="AP31" i="83"/>
  <c r="AP35" i="83"/>
  <c r="AR35" i="83" s="1"/>
  <c r="AQ29" i="83"/>
  <c r="AH30" i="83"/>
  <c r="AH44" i="83" s="1"/>
  <c r="AQ30" i="83"/>
  <c r="S22" i="83"/>
  <c r="T22" i="83"/>
  <c r="AQ22" i="83" s="1"/>
  <c r="AR22" i="83" s="1"/>
  <c r="S24" i="83"/>
  <c r="AP41" i="83"/>
  <c r="AQ41" i="83"/>
  <c r="Q67" i="83"/>
  <c r="P67" i="83"/>
  <c r="R67" i="83"/>
  <c r="AS67" i="83"/>
  <c r="AT67" i="83" s="1"/>
  <c r="AU67" i="83" s="1"/>
  <c r="AM67" i="83" s="1"/>
  <c r="AS71" i="83"/>
  <c r="AT71" i="83" s="1"/>
  <c r="AU71" i="83" s="1"/>
  <c r="AM71" i="83" s="1"/>
  <c r="P71" i="83"/>
  <c r="Q71" i="83"/>
  <c r="R71" i="83"/>
  <c r="R73" i="83"/>
  <c r="P73" i="83"/>
  <c r="AS73" i="83"/>
  <c r="AT73" i="83" s="1"/>
  <c r="AU73" i="83" s="1"/>
  <c r="AM73" i="83" s="1"/>
  <c r="Q73" i="83"/>
  <c r="P77" i="83"/>
  <c r="AS77" i="83"/>
  <c r="AT77" i="83" s="1"/>
  <c r="AU77" i="83" s="1"/>
  <c r="AM77" i="83" s="1"/>
  <c r="Q77" i="83"/>
  <c r="R77" i="83"/>
  <c r="AS79" i="83"/>
  <c r="AT79" i="83" s="1"/>
  <c r="AU79" i="83" s="1"/>
  <c r="AM79" i="83" s="1"/>
  <c r="Q79" i="83"/>
  <c r="R79" i="83"/>
  <c r="P79" i="83"/>
  <c r="P81" i="83"/>
  <c r="AS81" i="83"/>
  <c r="AT81" i="83" s="1"/>
  <c r="AU81" i="83" s="1"/>
  <c r="AM81" i="83" s="1"/>
  <c r="R81" i="83"/>
  <c r="Q81" i="83"/>
  <c r="AS85" i="83"/>
  <c r="AT85" i="83" s="1"/>
  <c r="AU85" i="83" s="1"/>
  <c r="AM85" i="83" s="1"/>
  <c r="Q85" i="83"/>
  <c r="R85" i="83"/>
  <c r="P85" i="83"/>
  <c r="AG23" i="82"/>
  <c r="AG24" i="82" s="1"/>
  <c r="AG13" i="82"/>
  <c r="AG14" i="82" s="1"/>
  <c r="S40" i="83"/>
  <c r="T40" i="83" s="1"/>
  <c r="AR31" i="83"/>
  <c r="AP27" i="83"/>
  <c r="AP29" i="83"/>
  <c r="AP32" i="83"/>
  <c r="AP34" i="83"/>
  <c r="AR34" i="83" s="1"/>
  <c r="Q43" i="83"/>
  <c r="AQ86" i="83"/>
  <c r="AR86" i="83" s="1"/>
  <c r="AP76" i="83"/>
  <c r="S88" i="83"/>
  <c r="AT18" i="83"/>
  <c r="L43" i="83"/>
  <c r="L42" i="83"/>
  <c r="Q42" i="83"/>
  <c r="P43" i="83"/>
  <c r="P42" i="83"/>
  <c r="L90" i="83"/>
  <c r="R90" i="83"/>
  <c r="P90" i="83"/>
  <c r="P91" i="83"/>
  <c r="Q91" i="83" l="1"/>
  <c r="AR32" i="83"/>
  <c r="L91" i="83"/>
  <c r="AF17" i="80"/>
  <c r="AQ17" i="80" s="1"/>
  <c r="AM17" i="80"/>
  <c r="AM24" i="80" s="1"/>
  <c r="AE11" i="82" s="1"/>
  <c r="AQ18" i="80"/>
  <c r="AR18" i="80" s="1"/>
  <c r="AF18" i="83"/>
  <c r="J48" i="62"/>
  <c r="L18" i="62"/>
  <c r="AN34" i="62"/>
  <c r="AT34" i="62"/>
  <c r="AT20" i="62"/>
  <c r="AT22" i="62"/>
  <c r="AM48" i="62"/>
  <c r="AW33" i="62"/>
  <c r="AX36" i="62"/>
  <c r="AQ36" i="62" s="1"/>
  <c r="AT36" i="62" s="1"/>
  <c r="AX21" i="62"/>
  <c r="AQ21" i="62" s="1"/>
  <c r="AX27" i="62"/>
  <c r="AQ27" i="62" s="1"/>
  <c r="AX37" i="62"/>
  <c r="AQ37" i="62" s="1"/>
  <c r="AT37" i="62" s="1"/>
  <c r="AX42" i="62"/>
  <c r="AQ42" i="62" s="1"/>
  <c r="AT42" i="62" s="1"/>
  <c r="AX35" i="62"/>
  <c r="AQ35" i="62" s="1"/>
  <c r="AV18" i="62"/>
  <c r="AV48" i="62" s="1"/>
  <c r="R18" i="62"/>
  <c r="R48" i="62" s="1"/>
  <c r="P18" i="62"/>
  <c r="P48" i="62" s="1"/>
  <c r="Q18" i="62"/>
  <c r="Q48" i="62" s="1"/>
  <c r="AX28" i="62"/>
  <c r="AQ28" i="62" s="1"/>
  <c r="AX40" i="62"/>
  <c r="AX46" i="62"/>
  <c r="AQ46" i="62" s="1"/>
  <c r="AT46" i="62" s="1"/>
  <c r="AX38" i="62"/>
  <c r="AQ38" i="62" s="1"/>
  <c r="AT38" i="62" s="1"/>
  <c r="AX30" i="62"/>
  <c r="AQ30" i="62" s="1"/>
  <c r="AX39" i="62"/>
  <c r="AQ39" i="62" s="1"/>
  <c r="AT39" i="62" s="1"/>
  <c r="AX19" i="62"/>
  <c r="AQ19" i="62" s="1"/>
  <c r="AX24" i="62"/>
  <c r="AQ24" i="62" s="1"/>
  <c r="AX31" i="62"/>
  <c r="AQ31" i="62" s="1"/>
  <c r="AX26" i="62"/>
  <c r="AQ26" i="62" s="1"/>
  <c r="AX25" i="62"/>
  <c r="AQ25" i="62" s="1"/>
  <c r="AX23" i="62"/>
  <c r="AQ23" i="62" s="1"/>
  <c r="AT23" i="62" s="1"/>
  <c r="L48" i="62"/>
  <c r="AW18" i="62"/>
  <c r="AU22" i="62"/>
  <c r="S38" i="62"/>
  <c r="T38" i="62" s="1"/>
  <c r="AU20" i="62"/>
  <c r="T44" i="62"/>
  <c r="AU44" i="62" s="1"/>
  <c r="T34" i="62"/>
  <c r="AU34" i="62" s="1"/>
  <c r="T29" i="62"/>
  <c r="S48" i="80"/>
  <c r="S42" i="62"/>
  <c r="T45" i="62"/>
  <c r="AU45" i="62" s="1"/>
  <c r="S46" i="62"/>
  <c r="S33" i="62"/>
  <c r="S36" i="62"/>
  <c r="T36" i="62" s="1"/>
  <c r="S32" i="62"/>
  <c r="J96" i="83"/>
  <c r="AG82" i="83"/>
  <c r="AQ82" i="83" s="1"/>
  <c r="P96" i="83"/>
  <c r="L96" i="83"/>
  <c r="AR41" i="83"/>
  <c r="AH88" i="83"/>
  <c r="AP88" i="83" s="1"/>
  <c r="AO29" i="62"/>
  <c r="AO48" i="62" s="1"/>
  <c r="Q96" i="83"/>
  <c r="AT78" i="83"/>
  <c r="AS96" i="83"/>
  <c r="M24" i="81"/>
  <c r="D22" i="82" s="1"/>
  <c r="AR22" i="82" s="1"/>
  <c r="T22" i="81"/>
  <c r="T24" i="81" s="1"/>
  <c r="K22" i="82" s="1"/>
  <c r="AQ24" i="81"/>
  <c r="AH22" i="82" s="1"/>
  <c r="AS23" i="81"/>
  <c r="AP24" i="80"/>
  <c r="AH11" i="82" s="1"/>
  <c r="AP17" i="80"/>
  <c r="AF24" i="80"/>
  <c r="X11" i="82" s="1"/>
  <c r="S50" i="80"/>
  <c r="T50" i="80" s="1"/>
  <c r="AQ50" i="80" s="1"/>
  <c r="AR50" i="80" s="1"/>
  <c r="L24" i="80"/>
  <c r="T48" i="80"/>
  <c r="S49" i="80"/>
  <c r="T49" i="80" s="1"/>
  <c r="AQ49" i="80" s="1"/>
  <c r="AR49" i="80" s="1"/>
  <c r="AQ20" i="80"/>
  <c r="AR20" i="80" s="1"/>
  <c r="T19" i="80"/>
  <c r="T24" i="80" s="1"/>
  <c r="L11" i="82" s="1"/>
  <c r="R91" i="83"/>
  <c r="T83" i="83"/>
  <c r="T32" i="62"/>
  <c r="S39" i="62"/>
  <c r="S21" i="62"/>
  <c r="S25" i="62"/>
  <c r="AN25" i="62" s="1"/>
  <c r="S30" i="62"/>
  <c r="T30" i="62" s="1"/>
  <c r="S23" i="62"/>
  <c r="S27" i="62"/>
  <c r="S28" i="62"/>
  <c r="T46" i="62"/>
  <c r="T33" i="62"/>
  <c r="S37" i="62"/>
  <c r="AQ23" i="83"/>
  <c r="AF23" i="83"/>
  <c r="AQ74" i="83"/>
  <c r="P44" i="83"/>
  <c r="Q44" i="83"/>
  <c r="AP30" i="83"/>
  <c r="AP74" i="83"/>
  <c r="AR27" i="83"/>
  <c r="AR30" i="83"/>
  <c r="AR29" i="83"/>
  <c r="P47" i="80"/>
  <c r="L47" i="80"/>
  <c r="AR21" i="80"/>
  <c r="AK23" i="82"/>
  <c r="S85" i="83"/>
  <c r="AP85" i="83" s="1"/>
  <c r="S79" i="83"/>
  <c r="S73" i="83"/>
  <c r="S71" i="83"/>
  <c r="AF71" i="83" s="1"/>
  <c r="S67" i="83"/>
  <c r="S89" i="83"/>
  <c r="AP89" i="83" s="1"/>
  <c r="S80" i="83"/>
  <c r="T80" i="83" s="1"/>
  <c r="S78" i="83"/>
  <c r="H23" i="82"/>
  <c r="S66" i="83"/>
  <c r="T66" i="83" s="1"/>
  <c r="AT66" i="83"/>
  <c r="S42" i="83"/>
  <c r="L44" i="83"/>
  <c r="AU18" i="83"/>
  <c r="AT44" i="83"/>
  <c r="T88" i="83"/>
  <c r="S81" i="83"/>
  <c r="T81" i="83" s="1"/>
  <c r="AP81" i="83"/>
  <c r="S77" i="83"/>
  <c r="S72" i="83"/>
  <c r="T72" i="83" s="1"/>
  <c r="S70" i="83"/>
  <c r="S68" i="83"/>
  <c r="T68" i="83" s="1"/>
  <c r="AQ40" i="83"/>
  <c r="AR40" i="83" s="1"/>
  <c r="T24" i="83"/>
  <c r="AQ76" i="83"/>
  <c r="AR76" i="83" s="1"/>
  <c r="AH78" i="83"/>
  <c r="AR26" i="83"/>
  <c r="AR25" i="83"/>
  <c r="T42" i="83"/>
  <c r="AQ42" i="83" s="1"/>
  <c r="AR42" i="83" s="1"/>
  <c r="S43" i="83"/>
  <c r="S90" i="83"/>
  <c r="S91" i="83"/>
  <c r="D23" i="82"/>
  <c r="D13" i="82"/>
  <c r="AP82" i="83" l="1"/>
  <c r="AQ88" i="83"/>
  <c r="AR17" i="80"/>
  <c r="AT31" i="62"/>
  <c r="AU31" i="62"/>
  <c r="AX18" i="62"/>
  <c r="AQ18" i="62" s="1"/>
  <c r="AW48" i="62"/>
  <c r="AX33" i="62"/>
  <c r="AQ40" i="62"/>
  <c r="AU40" i="62" s="1"/>
  <c r="AT24" i="62"/>
  <c r="AU24" i="62"/>
  <c r="AT35" i="62"/>
  <c r="AU35" i="62"/>
  <c r="AT19" i="62"/>
  <c r="AU19" i="62"/>
  <c r="AT21" i="62"/>
  <c r="AU38" i="62"/>
  <c r="AT26" i="62"/>
  <c r="AU26" i="62"/>
  <c r="S18" i="62"/>
  <c r="AN18" i="62" s="1"/>
  <c r="T25" i="62"/>
  <c r="AU25" i="62" s="1"/>
  <c r="AN30" i="62"/>
  <c r="AT30" i="62" s="1"/>
  <c r="T42" i="62"/>
  <c r="AU32" i="62"/>
  <c r="AU36" i="62"/>
  <c r="AU46" i="62"/>
  <c r="AU29" i="62"/>
  <c r="AQ48" i="80"/>
  <c r="AR48" i="80" s="1"/>
  <c r="AR88" i="83"/>
  <c r="AG80" i="83"/>
  <c r="AP80" i="83" s="1"/>
  <c r="AF70" i="83"/>
  <c r="AP70" i="83" s="1"/>
  <c r="R96" i="83"/>
  <c r="S96" i="83" s="1"/>
  <c r="AT29" i="62"/>
  <c r="AU78" i="83"/>
  <c r="AM78" i="83" s="1"/>
  <c r="AT96" i="83"/>
  <c r="U22" i="81"/>
  <c r="AQ19" i="80"/>
  <c r="D11" i="82"/>
  <c r="AO26" i="80"/>
  <c r="D14" i="82"/>
  <c r="AP91" i="83"/>
  <c r="AQ81" i="83"/>
  <c r="AR81" i="83" s="1"/>
  <c r="AH79" i="83"/>
  <c r="T78" i="83"/>
  <c r="AQ78" i="83" s="1"/>
  <c r="AF66" i="83"/>
  <c r="H13" i="82"/>
  <c r="H14" i="82" s="1"/>
  <c r="AR82" i="83"/>
  <c r="AR74" i="83"/>
  <c r="T89" i="83"/>
  <c r="AQ89" i="83" s="1"/>
  <c r="AR89" i="83" s="1"/>
  <c r="T67" i="83"/>
  <c r="AH77" i="83"/>
  <c r="AP77" i="83" s="1"/>
  <c r="T27" i="62"/>
  <c r="AN28" i="62"/>
  <c r="AT28" i="62" s="1"/>
  <c r="T21" i="62"/>
  <c r="AU21" i="62" s="1"/>
  <c r="T39" i="62"/>
  <c r="AU39" i="62" s="1"/>
  <c r="T28" i="62"/>
  <c r="AN27" i="62"/>
  <c r="T23" i="62"/>
  <c r="AU23" i="62" s="1"/>
  <c r="T37" i="62"/>
  <c r="AU37" i="62" s="1"/>
  <c r="AP68" i="83"/>
  <c r="AP23" i="83"/>
  <c r="AR23" i="83" s="1"/>
  <c r="AF44" i="83"/>
  <c r="AF73" i="83"/>
  <c r="AP83" i="83"/>
  <c r="AQ83" i="83"/>
  <c r="T70" i="83"/>
  <c r="AQ70" i="83" s="1"/>
  <c r="S44" i="83"/>
  <c r="AF67" i="83"/>
  <c r="AP67" i="83" s="1"/>
  <c r="T71" i="83"/>
  <c r="T73" i="83"/>
  <c r="AQ73" i="83" s="1"/>
  <c r="AP79" i="83"/>
  <c r="AP73" i="83"/>
  <c r="AM51" i="80"/>
  <c r="AE21" i="82" s="1"/>
  <c r="AP51" i="80"/>
  <c r="AH21" i="82" s="1"/>
  <c r="P51" i="80"/>
  <c r="H21" i="82" s="1"/>
  <c r="H24" i="82" s="1"/>
  <c r="S47" i="80"/>
  <c r="L51" i="80"/>
  <c r="D21" i="82" s="1"/>
  <c r="D24" i="82" s="1"/>
  <c r="AP23" i="82"/>
  <c r="AL23" i="82"/>
  <c r="AM23" i="82" s="1"/>
  <c r="I13" i="82"/>
  <c r="I14" i="82" s="1"/>
  <c r="I23" i="82"/>
  <c r="I24" i="82" s="1"/>
  <c r="AU44" i="83"/>
  <c r="AM18" i="83"/>
  <c r="T90" i="83"/>
  <c r="AQ90" i="83" s="1"/>
  <c r="T43" i="83"/>
  <c r="T44" i="83" s="1"/>
  <c r="AG72" i="83"/>
  <c r="AG96" i="83" s="1"/>
  <c r="AG24" i="83"/>
  <c r="T77" i="83"/>
  <c r="AQ77" i="83" s="1"/>
  <c r="AP78" i="83"/>
  <c r="AP71" i="83"/>
  <c r="AU66" i="83"/>
  <c r="AM66" i="83" s="1"/>
  <c r="T79" i="83"/>
  <c r="AQ79" i="83" s="1"/>
  <c r="AR79" i="83" s="1"/>
  <c r="T85" i="83"/>
  <c r="AQ85" i="83" s="1"/>
  <c r="AR85" i="83" s="1"/>
  <c r="T91" i="83"/>
  <c r="AQ91" i="83" s="1"/>
  <c r="T96" i="83" l="1"/>
  <c r="K23" i="82"/>
  <c r="AQ72" i="83"/>
  <c r="AU28" i="62"/>
  <c r="AN48" i="62"/>
  <c r="S48" i="62"/>
  <c r="AQ33" i="62"/>
  <c r="AX48" i="62"/>
  <c r="AT18" i="62"/>
  <c r="AU42" i="62"/>
  <c r="AT40" i="62"/>
  <c r="AU30" i="62"/>
  <c r="AU27" i="62"/>
  <c r="T18" i="62"/>
  <c r="AR78" i="83"/>
  <c r="AT25" i="62"/>
  <c r="AR70" i="83"/>
  <c r="AF96" i="83"/>
  <c r="AH96" i="83"/>
  <c r="AU96" i="83"/>
  <c r="AR22" i="81"/>
  <c r="U24" i="81"/>
  <c r="L22" i="82" s="1"/>
  <c r="AR19" i="80"/>
  <c r="AR24" i="80" s="1"/>
  <c r="AJ11" i="82" s="1"/>
  <c r="AQ24" i="80"/>
  <c r="AI11" i="82" s="1"/>
  <c r="AP90" i="83"/>
  <c r="AM96" i="83"/>
  <c r="J23" i="82"/>
  <c r="J24" i="82" s="1"/>
  <c r="J13" i="82"/>
  <c r="J14" i="82" s="1"/>
  <c r="AR91" i="83"/>
  <c r="AR83" i="83"/>
  <c r="AR77" i="83"/>
  <c r="K13" i="82"/>
  <c r="K14" i="82" s="1"/>
  <c r="AT27" i="62"/>
  <c r="AQ67" i="83"/>
  <c r="AR67" i="83" s="1"/>
  <c r="AQ68" i="83"/>
  <c r="AR68" i="83" s="1"/>
  <c r="AR73" i="83"/>
  <c r="AQ71" i="83"/>
  <c r="AR71" i="83" s="1"/>
  <c r="T47" i="80"/>
  <c r="T51" i="80" s="1"/>
  <c r="L21" i="82" s="1"/>
  <c r="S51" i="80"/>
  <c r="K21" i="82" s="1"/>
  <c r="K24" i="82" s="1"/>
  <c r="AR24" i="82" s="1"/>
  <c r="AQ47" i="80"/>
  <c r="AN23" i="82"/>
  <c r="AO23" i="82"/>
  <c r="Z23" i="82"/>
  <c r="Z24" i="82" s="1"/>
  <c r="Z13" i="82"/>
  <c r="Z14" i="82" s="1"/>
  <c r="AG44" i="83"/>
  <c r="AP24" i="83"/>
  <c r="X13" i="82"/>
  <c r="X14" i="82" s="1"/>
  <c r="X23" i="82"/>
  <c r="X24" i="82" s="1"/>
  <c r="AP72" i="83"/>
  <c r="AQ43" i="83"/>
  <c r="AR43" i="83" s="1"/>
  <c r="AQ24" i="83"/>
  <c r="AR24" i="83" s="1"/>
  <c r="AP66" i="83"/>
  <c r="Y23" i="82"/>
  <c r="Y24" i="82" s="1"/>
  <c r="Y13" i="82"/>
  <c r="Y14" i="82" s="1"/>
  <c r="AM44" i="83"/>
  <c r="AP18" i="83"/>
  <c r="AP44" i="83" s="1"/>
  <c r="AQ18" i="83"/>
  <c r="AQ66" i="83"/>
  <c r="AQ80" i="83"/>
  <c r="AU18" i="62" l="1"/>
  <c r="T48" i="62"/>
  <c r="AT33" i="62"/>
  <c r="AT48" i="62" s="1"/>
  <c r="AQ48" i="62"/>
  <c r="AU33" i="62"/>
  <c r="AU48" i="62" s="1"/>
  <c r="AP96" i="83"/>
  <c r="AH13" i="82" s="1"/>
  <c r="AH14" i="82" s="1"/>
  <c r="AR21" i="82"/>
  <c r="AS22" i="81"/>
  <c r="AS24" i="81" s="1"/>
  <c r="AJ22" i="82" s="1"/>
  <c r="AR24" i="81"/>
  <c r="AI22" i="82" s="1"/>
  <c r="AO28" i="80"/>
  <c r="AR72" i="83"/>
  <c r="AR90" i="83"/>
  <c r="AR80" i="83"/>
  <c r="AQ96" i="83"/>
  <c r="AR23" i="82"/>
  <c r="AR47" i="80"/>
  <c r="AR51" i="80" s="1"/>
  <c r="AJ21" i="82" s="1"/>
  <c r="AQ51" i="80"/>
  <c r="AI21" i="82" s="1"/>
  <c r="AQ23" i="82"/>
  <c r="AR66" i="83"/>
  <c r="L23" i="82"/>
  <c r="L24" i="82" s="1"/>
  <c r="L13" i="82"/>
  <c r="L14" i="82" s="1"/>
  <c r="AE13" i="82"/>
  <c r="AE14" i="82" s="1"/>
  <c r="AE23" i="82"/>
  <c r="AE24" i="82" s="1"/>
  <c r="AQ44" i="83"/>
  <c r="AR18" i="83"/>
  <c r="AR44" i="83" s="1"/>
  <c r="AH23" i="82" l="1"/>
  <c r="AH24" i="82" s="1"/>
  <c r="AU50" i="62"/>
  <c r="AK22" i="82"/>
  <c r="AL22" i="82" s="1"/>
  <c r="AM22" i="82" s="1"/>
  <c r="AK21" i="82"/>
  <c r="AL21" i="82" s="1"/>
  <c r="AM21" i="82" s="1"/>
  <c r="AR96" i="83"/>
  <c r="AJ23" i="82" s="1"/>
  <c r="AJ24" i="82" s="1"/>
  <c r="AI28" i="82"/>
  <c r="AP21" i="82"/>
  <c r="AI23" i="82"/>
  <c r="AI13" i="82"/>
  <c r="AI14" i="82" s="1"/>
  <c r="AI17" i="82" s="1"/>
  <c r="AP22" i="82" l="1"/>
  <c r="AK24" i="82"/>
  <c r="AL24" i="82" s="1"/>
  <c r="AM24" i="82" s="1"/>
  <c r="AI24" i="82"/>
  <c r="AN22" i="82"/>
  <c r="AO22" i="82"/>
  <c r="AJ13" i="82"/>
  <c r="AJ14" i="82" s="1"/>
  <c r="AN21" i="82"/>
  <c r="AO21" i="82"/>
  <c r="AP24" i="82" l="1"/>
  <c r="AQ22" i="82"/>
  <c r="AN24" i="82"/>
  <c r="AO24" i="82"/>
  <c r="AQ21" i="82"/>
  <c r="AQ24" i="82" l="1"/>
</calcChain>
</file>

<file path=xl/sharedStrings.xml><?xml version="1.0" encoding="utf-8"?>
<sst xmlns="http://schemas.openxmlformats.org/spreadsheetml/2006/main" count="1255" uniqueCount="234">
  <si>
    <t>1-4</t>
  </si>
  <si>
    <t>5-9</t>
  </si>
  <si>
    <t>10-11</t>
  </si>
  <si>
    <t>за веден.уч.кабинет</t>
  </si>
  <si>
    <t>Доплаты</t>
  </si>
  <si>
    <t>5-11</t>
  </si>
  <si>
    <t>3-х уровневые курсы</t>
  </si>
  <si>
    <t>педагог-модератор 30 %</t>
  </si>
  <si>
    <t>педагог-эксперт 35 %</t>
  </si>
  <si>
    <t>педагог-исследователь 40 %</t>
  </si>
  <si>
    <t>педагог-мастер 50 %</t>
  </si>
  <si>
    <t>за квалификацию педагогического мастерства</t>
  </si>
  <si>
    <t>за обновленное содержание образования</t>
  </si>
  <si>
    <t>преподавание физики, химии, биологии, информатики на английском языке</t>
  </si>
  <si>
    <t>Итого по ЦТ (республиканский бюджет)</t>
  </si>
  <si>
    <t>за замещение на период обучения основного сотрудника</t>
  </si>
  <si>
    <t>языковые курсы</t>
  </si>
  <si>
    <t>Классное руководство</t>
  </si>
  <si>
    <t>№п/п</t>
  </si>
  <si>
    <t>Фамилия Имя Отчество</t>
  </si>
  <si>
    <t>образование,    категория</t>
  </si>
  <si>
    <t>должность</t>
  </si>
  <si>
    <t>категория</t>
  </si>
  <si>
    <t>Стаж</t>
  </si>
  <si>
    <t>Коэфициент</t>
  </si>
  <si>
    <t>месячная ставка</t>
  </si>
  <si>
    <t>число час.недельн</t>
  </si>
  <si>
    <t>з/плата в месяц</t>
  </si>
  <si>
    <t xml:space="preserve">  число час.недельн</t>
  </si>
  <si>
    <t>доплата за проверку тетрадей</t>
  </si>
  <si>
    <t xml:space="preserve">надбавка 10% </t>
  </si>
  <si>
    <t>итого педагог. зарплата</t>
  </si>
  <si>
    <t>ИТОГО заработная плата в мес</t>
  </si>
  <si>
    <t>Предшкольные классы</t>
  </si>
  <si>
    <t>кол-во часов</t>
  </si>
  <si>
    <t>сумма</t>
  </si>
  <si>
    <t>30%</t>
  </si>
  <si>
    <t>70%</t>
  </si>
  <si>
    <t>100%</t>
  </si>
  <si>
    <t>физ-ра</t>
  </si>
  <si>
    <t>физика</t>
  </si>
  <si>
    <t>матем</t>
  </si>
  <si>
    <t>нач кл</t>
  </si>
  <si>
    <t>за вредность 40%</t>
  </si>
  <si>
    <t xml:space="preserve"> 1-4</t>
  </si>
  <si>
    <t xml:space="preserve"> 5-9</t>
  </si>
  <si>
    <t xml:space="preserve"> 10-11</t>
  </si>
  <si>
    <t>Итого</t>
  </si>
  <si>
    <t>Число классов</t>
  </si>
  <si>
    <t>число класс,комп</t>
  </si>
  <si>
    <t>Число часов по уч. Плану</t>
  </si>
  <si>
    <t>Общее число часов по тарифик.</t>
  </si>
  <si>
    <t>Вариативная часть</t>
  </si>
  <si>
    <t>дел. Кл</t>
  </si>
  <si>
    <t>м/ц,0кл</t>
  </si>
  <si>
    <t>БДО</t>
  </si>
  <si>
    <t>анг.яз</t>
  </si>
  <si>
    <t>ср спец</t>
  </si>
  <si>
    <t>ИТОГО</t>
  </si>
  <si>
    <t>число уч-ся</t>
  </si>
  <si>
    <t>высшее</t>
  </si>
  <si>
    <t>анг.язык</t>
  </si>
  <si>
    <t>рус язык</t>
  </si>
  <si>
    <t>ср.спец</t>
  </si>
  <si>
    <t>самопоз</t>
  </si>
  <si>
    <t>история</t>
  </si>
  <si>
    <t>нач.кл</t>
  </si>
  <si>
    <t>информ</t>
  </si>
  <si>
    <t>высш.</t>
  </si>
  <si>
    <t>каз.яз</t>
  </si>
  <si>
    <t>нач.класс</t>
  </si>
  <si>
    <t>Клушева Ж.М.</t>
  </si>
  <si>
    <t>Кожасов А.К.</t>
  </si>
  <si>
    <t>физкульт</t>
  </si>
  <si>
    <t>рус.яз.</t>
  </si>
  <si>
    <t>Шурманова А.М.</t>
  </si>
  <si>
    <t>Кайркенова Ж.Т.</t>
  </si>
  <si>
    <t>воспит.</t>
  </si>
  <si>
    <t>Конбас Досан</t>
  </si>
  <si>
    <t>Тамина Ж.А.</t>
  </si>
  <si>
    <t>В2-1</t>
  </si>
  <si>
    <t>В2-2</t>
  </si>
  <si>
    <t>В2-3</t>
  </si>
  <si>
    <t>В4-2</t>
  </si>
  <si>
    <t>В4-4</t>
  </si>
  <si>
    <t>Бестерекская СШ</t>
  </si>
  <si>
    <t>Отдел кадра</t>
  </si>
  <si>
    <t>УТВЕРЖДАЮ</t>
  </si>
  <si>
    <t>Руководитель отдела                                         Садуов К.Г</t>
  </si>
  <si>
    <t>Гл экономист</t>
  </si>
  <si>
    <t>Директор школы</t>
  </si>
  <si>
    <t>В2-4</t>
  </si>
  <si>
    <t>В4-1</t>
  </si>
  <si>
    <t>В4-3</t>
  </si>
  <si>
    <t>до года</t>
  </si>
  <si>
    <t>русск</t>
  </si>
  <si>
    <t>анг</t>
  </si>
  <si>
    <t>биология</t>
  </si>
  <si>
    <t>предшкола</t>
  </si>
  <si>
    <t>самоп</t>
  </si>
  <si>
    <t>рус.яз</t>
  </si>
  <si>
    <t>предшкола -6</t>
  </si>
  <si>
    <t>инфор</t>
  </si>
  <si>
    <t>Ленинградская СШ 1</t>
  </si>
  <si>
    <t>воспит</t>
  </si>
  <si>
    <t>Ералиева О.И.</t>
  </si>
  <si>
    <t>Гапончук Н.А.</t>
  </si>
  <si>
    <t>нвп-2</t>
  </si>
  <si>
    <t>уч.каз.яз</t>
  </si>
  <si>
    <t>уч.нач.кл</t>
  </si>
  <si>
    <t>Алкатерекская СШ</t>
  </si>
  <si>
    <t>Таменов Р.К.</t>
  </si>
  <si>
    <t>Ильясова Б.С.</t>
  </si>
  <si>
    <t>Салыкова А.К.</t>
  </si>
  <si>
    <t>Капенова Б.К.</t>
  </si>
  <si>
    <t>Ващенко В.В.</t>
  </si>
  <si>
    <t>Амзина К.Ш.</t>
  </si>
  <si>
    <t>Сагындыкова З.Е.</t>
  </si>
  <si>
    <t>Бакытжан Ж.К.</t>
  </si>
  <si>
    <t>Карипова Г.К.</t>
  </si>
  <si>
    <t>Ташкенова Г.С.</t>
  </si>
  <si>
    <t>Малгаждаров К.А.</t>
  </si>
  <si>
    <t>Бектаева М.Ф.</t>
  </si>
  <si>
    <t>физ.рук</t>
  </si>
  <si>
    <t>Сагындыкова Л.А.</t>
  </si>
  <si>
    <t>Алина Г.К.</t>
  </si>
  <si>
    <t>истории</t>
  </si>
  <si>
    <t>Аскарова А.Ж</t>
  </si>
  <si>
    <t>физ.ра</t>
  </si>
  <si>
    <t>Молдашева А.К.</t>
  </si>
  <si>
    <t>нвп2</t>
  </si>
  <si>
    <t>уч.матем</t>
  </si>
  <si>
    <t>уч.англ.яз</t>
  </si>
  <si>
    <t>Сагынаев С.С.</t>
  </si>
  <si>
    <t>Талшикская СШ</t>
  </si>
  <si>
    <t>Шайсултанова Г.А.</t>
  </si>
  <si>
    <t>Козыбаева А.Ж.</t>
  </si>
  <si>
    <t>Жакупова А.Ш.</t>
  </si>
  <si>
    <t>Жакупов Б.С.</t>
  </si>
  <si>
    <t>уч.физ/ры</t>
  </si>
  <si>
    <t>Ахметова А.Б.</t>
  </si>
  <si>
    <t>Бактыбаев А.Б.</t>
  </si>
  <si>
    <t>Бактыбаев М.Б.</t>
  </si>
  <si>
    <t>Здуалиева Р.М.</t>
  </si>
  <si>
    <t>Булатова А.А.</t>
  </si>
  <si>
    <t>Салимов З.У.</t>
  </si>
  <si>
    <t>Калижанов Т.С.</t>
  </si>
  <si>
    <t>Мұхитдин Т.Ә.</t>
  </si>
  <si>
    <t>Жетыбаева Р.Б.</t>
  </si>
  <si>
    <t>Амренова Ж.К.</t>
  </si>
  <si>
    <t>Шайсултанова А.Б.</t>
  </si>
  <si>
    <t>Махметов А.Б.</t>
  </si>
  <si>
    <t>Муканова А.А.</t>
  </si>
  <si>
    <t>уч,нач.кл</t>
  </si>
  <si>
    <t>нвп6</t>
  </si>
  <si>
    <t>по новому</t>
  </si>
  <si>
    <t>Тауекелов А.А</t>
  </si>
  <si>
    <t xml:space="preserve">по новому </t>
  </si>
  <si>
    <t>Гл.бухгалтер</t>
  </si>
  <si>
    <t xml:space="preserve">Гл.бухгалтер </t>
  </si>
  <si>
    <t>№</t>
  </si>
  <si>
    <t>Показатели на 3.01.2019 г.</t>
  </si>
  <si>
    <t xml:space="preserve">Гл бухгалтер </t>
  </si>
  <si>
    <t>по старому</t>
  </si>
  <si>
    <t xml:space="preserve"> Число часов по уч. Плану </t>
  </si>
  <si>
    <t>итого+10%+назарб</t>
  </si>
  <si>
    <t>лечеьные</t>
  </si>
  <si>
    <t>стадион</t>
  </si>
  <si>
    <t>шт.ед</t>
  </si>
  <si>
    <t>бух</t>
  </si>
  <si>
    <t>метод</t>
  </si>
  <si>
    <t>школа</t>
  </si>
  <si>
    <t>адм.хоз</t>
  </si>
  <si>
    <t>обучение</t>
  </si>
  <si>
    <t>мини-ц</t>
  </si>
  <si>
    <t>пед.ст</t>
  </si>
  <si>
    <t>за месяц</t>
  </si>
  <si>
    <t xml:space="preserve">коч за месяц </t>
  </si>
  <si>
    <t>кочег за 1</t>
  </si>
  <si>
    <t>Карбаева Р С</t>
  </si>
  <si>
    <t>уч анг яз</t>
  </si>
  <si>
    <t>уч муз</t>
  </si>
  <si>
    <t>до 1года</t>
  </si>
  <si>
    <t>Даниярова М К</t>
  </si>
  <si>
    <t>до 1 года</t>
  </si>
  <si>
    <t>нвп-8ч</t>
  </si>
  <si>
    <t>Сейтен Д.Б.</t>
  </si>
  <si>
    <t>ЛСШ №1</t>
  </si>
  <si>
    <t>лечебн</t>
  </si>
  <si>
    <t xml:space="preserve">по старому </t>
  </si>
  <si>
    <t>русски</t>
  </si>
  <si>
    <t>Темиргали П.А.</t>
  </si>
  <si>
    <t>ТАРИФИКАЦИОННЫЙ СПИСОК НА 1 сентября   2020 года</t>
  </si>
  <si>
    <t>Показатели на 1.09.2020 г.</t>
  </si>
  <si>
    <t>Касанова К.М</t>
  </si>
  <si>
    <t>дежурный класс</t>
  </si>
  <si>
    <t>СВОДНАЯ   по школам района  на  1 сентября 2020 г</t>
  </si>
  <si>
    <t>наставн</t>
  </si>
  <si>
    <t>ТАРИФИКАЦИОННЫЙ СПИСОК НА 1  сентября  2020 года</t>
  </si>
  <si>
    <t>Досжанова С.К</t>
  </si>
  <si>
    <t>Аскарбек М</t>
  </si>
  <si>
    <t>Масгут М</t>
  </si>
  <si>
    <t>Асылхан А.А</t>
  </si>
  <si>
    <t>Сейдахметова Л.</t>
  </si>
  <si>
    <t xml:space="preserve">  </t>
  </si>
  <si>
    <t>Альжанова Ш.А</t>
  </si>
  <si>
    <t>уч.русс яз</t>
  </si>
  <si>
    <t>Турсунова Б.О</t>
  </si>
  <si>
    <t>Калиева Б.С</t>
  </si>
  <si>
    <t>1,5%</t>
  </si>
  <si>
    <t>ТАРИФИКАЦИОННЫЙ СПИСОК НА 1 января  2021 года</t>
  </si>
  <si>
    <t>доплата физ-ра</t>
  </si>
  <si>
    <t>Кусаинов М.Т</t>
  </si>
  <si>
    <t>Иставлетова А.А</t>
  </si>
  <si>
    <t>Бейсенова С.М</t>
  </si>
  <si>
    <t>Ашенова А.Г</t>
  </si>
  <si>
    <t>Салимова С.С.</t>
  </si>
  <si>
    <t>1-5</t>
  </si>
  <si>
    <t>ТАРИФИКАЦИОННЫЙ СПИСОК НА 1 февраля  2021 года</t>
  </si>
  <si>
    <t xml:space="preserve">доплата за проверку тетрадей для не  полных классов </t>
  </si>
  <si>
    <t xml:space="preserve">доплата за проверку тетрадей для полных классов </t>
  </si>
  <si>
    <t>Кожагулова С.Г</t>
  </si>
  <si>
    <t>ТАРИФИКАЦИОННЫЙ СПИСОК НА 1 февраля    2021 года</t>
  </si>
  <si>
    <t>Показатели на 1.09.2021 г.</t>
  </si>
  <si>
    <t>ТАРИФИКАЦИОННЫЙ СПИСОК НА 01 сентября   2021 года</t>
  </si>
  <si>
    <t>геог.ист</t>
  </si>
  <si>
    <t xml:space="preserve">Малтазин А.З </t>
  </si>
  <si>
    <t>рус.яз,самоп</t>
  </si>
  <si>
    <t>Шукантаева Ж.А</t>
  </si>
  <si>
    <t>тех.</t>
  </si>
  <si>
    <t>ТАРИФИКАЦИОННЫЙ СПИСОК НА 20 сентября   2021 года</t>
  </si>
  <si>
    <t xml:space="preserve">                            Дополнительный</t>
  </si>
  <si>
    <t>Нургожина А.Р</t>
  </si>
  <si>
    <t>Даир У.С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</si>
</sst>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&quot;т.&quot;_-;\-* #,##0.00&quot;т.&quot;_-;_-* &quot;-&quot;??&quot;т.&quot;_-;_-@_-"/>
    <numFmt numFmtId="165" formatCode="0.0"/>
    <numFmt numFmtId="166" formatCode="_-* #,##0.00_р_._-;\-* #,##0.00_р_._-;_-* &quot;-&quot;??_р_._-;_-@_-"/>
  </numFmts>
  <fonts count="24" x14ac:knownFonts="1">
    <font>
      <sz val="10"/>
      <name val="Arial Cyr"/>
      <charset val="204"/>
    </font>
    <font>
      <sz val="10"/>
      <name val="Arial Cyr"/>
      <charset val="204"/>
    </font>
    <font>
      <b/>
      <sz val="10"/>
      <name val="Arial Cyr"/>
      <charset val="204"/>
    </font>
    <font>
      <sz val="10"/>
      <name val="Arial Cyr"/>
      <charset val="204"/>
    </font>
    <font>
      <sz val="10"/>
      <name val="Times New Roman Cyr"/>
      <charset val="204"/>
    </font>
    <font>
      <sz val="9"/>
      <name val="Times New Roman Cyr"/>
      <charset val="204"/>
    </font>
    <font>
      <sz val="12"/>
      <name val="Times New Roman Cyr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Arial Cyr"/>
      <charset val="204"/>
    </font>
    <font>
      <i/>
      <sz val="10"/>
      <name val="Arial Cyr"/>
      <charset val="204"/>
    </font>
    <font>
      <sz val="9"/>
      <name val="Arial Cyr"/>
      <charset val="204"/>
    </font>
    <font>
      <b/>
      <sz val="9"/>
      <name val="Arial Cyr"/>
      <charset val="204"/>
    </font>
    <font>
      <b/>
      <sz val="10"/>
      <name val="Times New Roman Cyr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9"/>
      <color rgb="FFFF0000"/>
      <name val="Times New Roman"/>
      <family val="1"/>
      <charset val="204"/>
    </font>
    <font>
      <sz val="10"/>
      <color theme="0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name val="Arial Cyr"/>
      <family val="2"/>
    </font>
    <font>
      <sz val="10"/>
      <name val="Arial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FF00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2">
    <xf numFmtId="0" fontId="0" fillId="0" borderId="0"/>
    <xf numFmtId="164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4" fillId="0" borderId="0"/>
    <xf numFmtId="0" fontId="3" fillId="0" borderId="0"/>
    <xf numFmtId="9" fontId="4" fillId="0" borderId="0" applyFont="0" applyFill="0" applyBorder="0" applyAlignment="0" applyProtection="0"/>
    <xf numFmtId="0" fontId="1" fillId="0" borderId="0"/>
    <xf numFmtId="0" fontId="4" fillId="0" borderId="0"/>
    <xf numFmtId="164" fontId="1" fillId="0" borderId="0" applyFont="0" applyFill="0" applyBorder="0" applyAlignment="0" applyProtection="0"/>
    <xf numFmtId="0" fontId="22" fillId="0" borderId="0"/>
    <xf numFmtId="166" fontId="4" fillId="0" borderId="0" applyFont="0" applyFill="0" applyBorder="0" applyAlignment="0" applyProtection="0"/>
    <xf numFmtId="166" fontId="23" fillId="0" borderId="0" applyFont="0" applyFill="0" applyBorder="0" applyAlignment="0" applyProtection="0"/>
  </cellStyleXfs>
  <cellXfs count="430">
    <xf numFmtId="0" fontId="0" fillId="0" borderId="0" xfId="0"/>
    <xf numFmtId="0" fontId="0" fillId="0" borderId="1" xfId="0" applyBorder="1"/>
    <xf numFmtId="1" fontId="0" fillId="0" borderId="1" xfId="0" applyNumberFormat="1" applyBorder="1"/>
    <xf numFmtId="0" fontId="0" fillId="0" borderId="0" xfId="0" applyBorder="1"/>
    <xf numFmtId="0" fontId="0" fillId="3" borderId="1" xfId="0" applyFill="1" applyBorder="1"/>
    <xf numFmtId="0" fontId="0" fillId="0" borderId="1" xfId="0" applyBorder="1" applyAlignment="1">
      <alignment horizontal="center"/>
    </xf>
    <xf numFmtId="0" fontId="2" fillId="0" borderId="1" xfId="0" applyFont="1" applyBorder="1"/>
    <xf numFmtId="1" fontId="2" fillId="0" borderId="1" xfId="0" applyNumberFormat="1" applyFont="1" applyBorder="1"/>
    <xf numFmtId="0" fontId="2" fillId="3" borderId="1" xfId="0" applyFont="1" applyFill="1" applyBorder="1"/>
    <xf numFmtId="0" fontId="2" fillId="0" borderId="0" xfId="0" applyFont="1"/>
    <xf numFmtId="0" fontId="2" fillId="0" borderId="1" xfId="0" applyFont="1" applyBorder="1" applyAlignment="1">
      <alignment wrapText="1"/>
    </xf>
    <xf numFmtId="0" fontId="5" fillId="4" borderId="1" xfId="3" applyFont="1" applyFill="1" applyBorder="1"/>
    <xf numFmtId="0" fontId="6" fillId="4" borderId="1" xfId="3" applyFont="1" applyFill="1" applyBorder="1"/>
    <xf numFmtId="49" fontId="7" fillId="0" borderId="4" xfId="0" applyNumberFormat="1" applyFont="1" applyBorder="1" applyAlignment="1" applyProtection="1">
      <alignment horizontal="center" wrapText="1"/>
      <protection locked="0"/>
    </xf>
    <xf numFmtId="1" fontId="7" fillId="0" borderId="5" xfId="0" applyNumberFormat="1" applyFont="1" applyBorder="1" applyAlignment="1" applyProtection="1">
      <alignment horizontal="center" vertical="center" wrapText="1"/>
      <protection locked="0"/>
    </xf>
    <xf numFmtId="0" fontId="0" fillId="0" borderId="1" xfId="0" applyFont="1" applyBorder="1"/>
    <xf numFmtId="0" fontId="4" fillId="4" borderId="1" xfId="3" applyFont="1" applyFill="1" applyBorder="1"/>
    <xf numFmtId="0" fontId="0" fillId="0" borderId="2" xfId="0" applyFont="1" applyBorder="1" applyAlignment="1">
      <alignment horizontal="center"/>
    </xf>
    <xf numFmtId="0" fontId="0" fillId="0" borderId="1" xfId="0" applyFont="1" applyBorder="1" applyAlignment="1">
      <alignment horizontal="center"/>
    </xf>
    <xf numFmtId="0" fontId="4" fillId="4" borderId="6" xfId="3" applyFont="1" applyFill="1" applyBorder="1"/>
    <xf numFmtId="0" fontId="8" fillId="3" borderId="7" xfId="3" applyFont="1" applyFill="1" applyBorder="1" applyAlignment="1">
      <alignment horizontal="left"/>
    </xf>
    <xf numFmtId="0" fontId="8" fillId="3" borderId="8" xfId="3" applyFont="1" applyFill="1" applyBorder="1" applyAlignment="1">
      <alignment horizontal="center"/>
    </xf>
    <xf numFmtId="16" fontId="8" fillId="3" borderId="1" xfId="3" applyNumberFormat="1" applyFont="1" applyFill="1" applyBorder="1" applyAlignment="1">
      <alignment horizontal="center"/>
    </xf>
    <xf numFmtId="0" fontId="8" fillId="3" borderId="1" xfId="3" applyFont="1" applyFill="1" applyBorder="1" applyAlignment="1">
      <alignment horizontal="center"/>
    </xf>
    <xf numFmtId="0" fontId="8" fillId="3" borderId="8" xfId="3" applyFont="1" applyFill="1" applyBorder="1" applyAlignment="1">
      <alignment horizontal="left"/>
    </xf>
    <xf numFmtId="0" fontId="8" fillId="3" borderId="1" xfId="3" applyFont="1" applyFill="1" applyBorder="1"/>
    <xf numFmtId="0" fontId="8" fillId="3" borderId="9" xfId="3" applyFont="1" applyFill="1" applyBorder="1" applyAlignment="1">
      <alignment horizontal="left"/>
    </xf>
    <xf numFmtId="0" fontId="8" fillId="3" borderId="10" xfId="3" applyFont="1" applyFill="1" applyBorder="1" applyAlignment="1">
      <alignment horizontal="left"/>
    </xf>
    <xf numFmtId="0" fontId="8" fillId="3" borderId="8" xfId="3" applyFont="1" applyFill="1" applyBorder="1"/>
    <xf numFmtId="0" fontId="8" fillId="3" borderId="11" xfId="3" applyFont="1" applyFill="1" applyBorder="1"/>
    <xf numFmtId="0" fontId="0" fillId="3" borderId="1" xfId="0" applyFont="1" applyFill="1" applyBorder="1"/>
    <xf numFmtId="0" fontId="4" fillId="3" borderId="1" xfId="3" applyFont="1" applyFill="1" applyBorder="1"/>
    <xf numFmtId="0" fontId="4" fillId="3" borderId="6" xfId="3" applyFont="1" applyFill="1" applyBorder="1"/>
    <xf numFmtId="0" fontId="0" fillId="3" borderId="0" xfId="0" applyFill="1"/>
    <xf numFmtId="2" fontId="0" fillId="3" borderId="1" xfId="0" applyNumberFormat="1" applyFont="1" applyFill="1" applyBorder="1"/>
    <xf numFmtId="0" fontId="4" fillId="3" borderId="3" xfId="3" applyFont="1" applyFill="1" applyBorder="1"/>
    <xf numFmtId="0" fontId="2" fillId="3" borderId="0" xfId="0" applyFont="1" applyFill="1"/>
    <xf numFmtId="0" fontId="0" fillId="5" borderId="0" xfId="0" applyFill="1"/>
    <xf numFmtId="0" fontId="0" fillId="5" borderId="1" xfId="0" applyFont="1" applyFill="1" applyBorder="1"/>
    <xf numFmtId="0" fontId="0" fillId="5" borderId="1" xfId="0" applyFill="1" applyBorder="1"/>
    <xf numFmtId="0" fontId="9" fillId="0" borderId="0" xfId="0" applyFont="1" applyAlignment="1">
      <alignment horizontal="right"/>
    </xf>
    <xf numFmtId="0" fontId="16" fillId="3" borderId="1" xfId="3" applyFont="1" applyFill="1" applyBorder="1" applyAlignment="1">
      <alignment horizontal="center"/>
    </xf>
    <xf numFmtId="0" fontId="8" fillId="3" borderId="3" xfId="3" applyFont="1" applyFill="1" applyBorder="1" applyAlignment="1">
      <alignment horizontal="center"/>
    </xf>
    <xf numFmtId="0" fontId="8" fillId="3" borderId="11" xfId="3" applyFont="1" applyFill="1" applyBorder="1" applyAlignment="1">
      <alignment horizontal="center"/>
    </xf>
    <xf numFmtId="0" fontId="0" fillId="0" borderId="11" xfId="0" applyBorder="1"/>
    <xf numFmtId="0" fontId="0" fillId="0" borderId="7" xfId="0" applyBorder="1"/>
    <xf numFmtId="0" fontId="0" fillId="0" borderId="8" xfId="0" applyBorder="1"/>
    <xf numFmtId="0" fontId="0" fillId="0" borderId="1" xfId="0" applyBorder="1" applyAlignment="1">
      <alignment horizontal="right"/>
    </xf>
    <xf numFmtId="1" fontId="4" fillId="2" borderId="1" xfId="3" applyNumberFormat="1" applyFont="1" applyFill="1" applyBorder="1"/>
    <xf numFmtId="1" fontId="0" fillId="0" borderId="0" xfId="0" applyNumberFormat="1"/>
    <xf numFmtId="1" fontId="0" fillId="0" borderId="1" xfId="0" applyNumberFormat="1" applyFont="1" applyBorder="1"/>
    <xf numFmtId="1" fontId="0" fillId="3" borderId="1" xfId="0" applyNumberFormat="1" applyFont="1" applyFill="1" applyBorder="1"/>
    <xf numFmtId="1" fontId="0" fillId="0" borderId="1" xfId="0" applyNumberFormat="1" applyFont="1" applyBorder="1" applyAlignment="1">
      <alignment horizontal="center"/>
    </xf>
    <xf numFmtId="0" fontId="10" fillId="3" borderId="1" xfId="0" applyFont="1" applyFill="1" applyBorder="1"/>
    <xf numFmtId="165" fontId="0" fillId="0" borderId="0" xfId="0" applyNumberFormat="1"/>
    <xf numFmtId="49" fontId="7" fillId="0" borderId="1" xfId="0" applyNumberFormat="1" applyFont="1" applyBorder="1" applyAlignment="1" applyProtection="1">
      <alignment horizontal="center" wrapText="1"/>
      <protection locked="0"/>
    </xf>
    <xf numFmtId="0" fontId="18" fillId="3" borderId="1" xfId="0" applyFont="1" applyFill="1" applyBorder="1"/>
    <xf numFmtId="0" fontId="18" fillId="0" borderId="1" xfId="0" applyFont="1" applyBorder="1"/>
    <xf numFmtId="0" fontId="0" fillId="6" borderId="0" xfId="0" applyFill="1"/>
    <xf numFmtId="0" fontId="2" fillId="6" borderId="0" xfId="0" applyFont="1" applyFill="1"/>
    <xf numFmtId="0" fontId="7" fillId="0" borderId="6" xfId="0" applyFont="1" applyBorder="1" applyAlignment="1" applyProtection="1">
      <alignment horizontal="center" vertical="center" wrapText="1"/>
      <protection locked="0"/>
    </xf>
    <xf numFmtId="0" fontId="2" fillId="0" borderId="0" xfId="0" applyFont="1" applyFill="1" applyBorder="1"/>
    <xf numFmtId="0" fontId="12" fillId="0" borderId="1" xfId="0" applyFont="1" applyBorder="1"/>
    <xf numFmtId="0" fontId="0" fillId="5" borderId="7" xfId="0" applyFill="1" applyBorder="1" applyAlignment="1"/>
    <xf numFmtId="0" fontId="0" fillId="5" borderId="11" xfId="0" applyFill="1" applyBorder="1" applyAlignment="1"/>
    <xf numFmtId="0" fontId="7" fillId="0" borderId="1" xfId="0" applyFont="1" applyBorder="1" applyAlignment="1" applyProtection="1">
      <alignment horizontal="center" vertical="center"/>
      <protection locked="0"/>
    </xf>
    <xf numFmtId="0" fontId="12" fillId="0" borderId="0" xfId="0" applyFont="1"/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vertical="center"/>
    </xf>
    <xf numFmtId="0" fontId="8" fillId="0" borderId="15" xfId="0" applyFont="1" applyBorder="1" applyAlignment="1" applyProtection="1">
      <alignment horizontal="center" vertical="center"/>
      <protection locked="0"/>
    </xf>
    <xf numFmtId="0" fontId="7" fillId="0" borderId="6" xfId="0" applyFont="1" applyBorder="1" applyAlignment="1" applyProtection="1">
      <alignment horizontal="center" vertical="center"/>
      <protection locked="0"/>
    </xf>
    <xf numFmtId="1" fontId="2" fillId="3" borderId="1" xfId="0" applyNumberFormat="1" applyFont="1" applyFill="1" applyBorder="1"/>
    <xf numFmtId="0" fontId="11" fillId="0" borderId="1" xfId="0" applyFont="1" applyBorder="1" applyAlignment="1">
      <alignment horizontal="center"/>
    </xf>
    <xf numFmtId="0" fontId="2" fillId="0" borderId="0" xfId="0" applyFont="1" applyBorder="1"/>
    <xf numFmtId="0" fontId="5" fillId="3" borderId="1" xfId="3" applyFont="1" applyFill="1" applyBorder="1"/>
    <xf numFmtId="0" fontId="0" fillId="3" borderId="0" xfId="0" applyFill="1" applyBorder="1"/>
    <xf numFmtId="0" fontId="0" fillId="5" borderId="0" xfId="0" applyFill="1" applyBorder="1"/>
    <xf numFmtId="164" fontId="8" fillId="3" borderId="12" xfId="1" applyFont="1" applyFill="1" applyBorder="1" applyAlignment="1">
      <alignment horizontal="left"/>
    </xf>
    <xf numFmtId="164" fontId="8" fillId="3" borderId="13" xfId="1" applyFont="1" applyFill="1" applyBorder="1" applyAlignment="1">
      <alignment horizontal="left"/>
    </xf>
    <xf numFmtId="0" fontId="8" fillId="3" borderId="1" xfId="1" applyNumberFormat="1" applyFont="1" applyFill="1" applyBorder="1" applyAlignment="1">
      <alignment horizontal="center"/>
    </xf>
    <xf numFmtId="164" fontId="0" fillId="0" borderId="0" xfId="1" applyFont="1"/>
    <xf numFmtId="0" fontId="11" fillId="0" borderId="0" xfId="0" applyFont="1"/>
    <xf numFmtId="0" fontId="11" fillId="3" borderId="0" xfId="0" applyFont="1" applyFill="1"/>
    <xf numFmtId="0" fontId="14" fillId="3" borderId="7" xfId="3" applyFont="1" applyFill="1" applyBorder="1" applyAlignment="1">
      <alignment horizontal="left"/>
    </xf>
    <xf numFmtId="0" fontId="14" fillId="3" borderId="8" xfId="3" applyFont="1" applyFill="1" applyBorder="1" applyAlignment="1">
      <alignment horizontal="center"/>
    </xf>
    <xf numFmtId="16" fontId="14" fillId="3" borderId="1" xfId="3" applyNumberFormat="1" applyFont="1" applyFill="1" applyBorder="1" applyAlignment="1">
      <alignment horizontal="center"/>
    </xf>
    <xf numFmtId="0" fontId="14" fillId="3" borderId="1" xfId="3" applyFont="1" applyFill="1" applyBorder="1" applyAlignment="1">
      <alignment horizontal="center"/>
    </xf>
    <xf numFmtId="0" fontId="11" fillId="0" borderId="0" xfId="0" applyFont="1" applyFill="1"/>
    <xf numFmtId="0" fontId="14" fillId="3" borderId="8" xfId="3" applyFont="1" applyFill="1" applyBorder="1" applyAlignment="1">
      <alignment horizontal="left"/>
    </xf>
    <xf numFmtId="0" fontId="14" fillId="3" borderId="1" xfId="3" applyFont="1" applyFill="1" applyBorder="1"/>
    <xf numFmtId="0" fontId="14" fillId="3" borderId="9" xfId="3" applyFont="1" applyFill="1" applyBorder="1" applyAlignment="1">
      <alignment horizontal="left"/>
    </xf>
    <xf numFmtId="0" fontId="14" fillId="3" borderId="10" xfId="3" applyFont="1" applyFill="1" applyBorder="1" applyAlignment="1">
      <alignment horizontal="left"/>
    </xf>
    <xf numFmtId="0" fontId="11" fillId="0" borderId="7" xfId="0" applyFont="1" applyBorder="1"/>
    <xf numFmtId="0" fontId="11" fillId="0" borderId="8" xfId="0" applyFont="1" applyBorder="1"/>
    <xf numFmtId="0" fontId="11" fillId="0" borderId="11" xfId="0" applyFont="1" applyBorder="1"/>
    <xf numFmtId="0" fontId="11" fillId="0" borderId="1" xfId="0" applyFont="1" applyBorder="1"/>
    <xf numFmtId="164" fontId="11" fillId="3" borderId="0" xfId="1" applyFont="1" applyFill="1"/>
    <xf numFmtId="164" fontId="14" fillId="3" borderId="12" xfId="1" applyFont="1" applyFill="1" applyBorder="1" applyAlignment="1">
      <alignment horizontal="left"/>
    </xf>
    <xf numFmtId="164" fontId="14" fillId="3" borderId="13" xfId="1" applyFont="1" applyFill="1" applyBorder="1" applyAlignment="1">
      <alignment horizontal="left"/>
    </xf>
    <xf numFmtId="0" fontId="14" fillId="3" borderId="1" xfId="1" applyNumberFormat="1" applyFont="1" applyFill="1" applyBorder="1" applyAlignment="1">
      <alignment horizontal="center"/>
    </xf>
    <xf numFmtId="164" fontId="11" fillId="0" borderId="0" xfId="1" applyFont="1"/>
    <xf numFmtId="164" fontId="11" fillId="0" borderId="0" xfId="1" applyFont="1" applyFill="1"/>
    <xf numFmtId="0" fontId="19" fillId="3" borderId="1" xfId="3" applyFont="1" applyFill="1" applyBorder="1" applyAlignment="1">
      <alignment horizontal="center"/>
    </xf>
    <xf numFmtId="0" fontId="14" fillId="3" borderId="3" xfId="3" applyFont="1" applyFill="1" applyBorder="1" applyAlignment="1">
      <alignment horizontal="center"/>
    </xf>
    <xf numFmtId="0" fontId="11" fillId="0" borderId="0" xfId="0" applyFont="1" applyAlignment="1">
      <alignment horizontal="right"/>
    </xf>
    <xf numFmtId="0" fontId="12" fillId="3" borderId="0" xfId="0" applyFont="1" applyFill="1"/>
    <xf numFmtId="0" fontId="14" fillId="3" borderId="8" xfId="3" applyFont="1" applyFill="1" applyBorder="1"/>
    <xf numFmtId="0" fontId="14" fillId="3" borderId="11" xfId="3" applyFont="1" applyFill="1" applyBorder="1"/>
    <xf numFmtId="0" fontId="14" fillId="3" borderId="11" xfId="3" applyFont="1" applyFill="1" applyBorder="1" applyAlignment="1">
      <alignment horizontal="center"/>
    </xf>
    <xf numFmtId="0" fontId="11" fillId="5" borderId="0" xfId="0" applyFont="1" applyFill="1"/>
    <xf numFmtId="49" fontId="15" fillId="0" borderId="4" xfId="0" applyNumberFormat="1" applyFont="1" applyBorder="1" applyAlignment="1" applyProtection="1">
      <alignment horizontal="center" wrapText="1"/>
      <protection locked="0"/>
    </xf>
    <xf numFmtId="1" fontId="15" fillId="0" borderId="5" xfId="0" applyNumberFormat="1" applyFont="1" applyBorder="1" applyAlignment="1" applyProtection="1">
      <alignment horizontal="center" vertical="center" wrapText="1"/>
      <protection locked="0"/>
    </xf>
    <xf numFmtId="0" fontId="14" fillId="3" borderId="1" xfId="0" applyFont="1" applyFill="1" applyBorder="1"/>
    <xf numFmtId="0" fontId="11" fillId="0" borderId="1" xfId="0" applyFont="1" applyFill="1" applyBorder="1"/>
    <xf numFmtId="0" fontId="11" fillId="0" borderId="17" xfId="0" applyFont="1" applyBorder="1"/>
    <xf numFmtId="1" fontId="11" fillId="0" borderId="2" xfId="0" applyNumberFormat="1" applyFont="1" applyBorder="1" applyAlignment="1">
      <alignment horizontal="center"/>
    </xf>
    <xf numFmtId="1" fontId="11" fillId="0" borderId="1" xfId="0" applyNumberFormat="1" applyFont="1" applyBorder="1" applyAlignment="1">
      <alignment horizontal="center"/>
    </xf>
    <xf numFmtId="1" fontId="11" fillId="0" borderId="1" xfId="0" applyNumberFormat="1" applyFont="1" applyBorder="1"/>
    <xf numFmtId="0" fontId="11" fillId="3" borderId="1" xfId="0" applyFont="1" applyFill="1" applyBorder="1"/>
    <xf numFmtId="0" fontId="5" fillId="3" borderId="6" xfId="3" applyFont="1" applyFill="1" applyBorder="1"/>
    <xf numFmtId="2" fontId="11" fillId="3" borderId="1" xfId="0" applyNumberFormat="1" applyFont="1" applyFill="1" applyBorder="1"/>
    <xf numFmtId="165" fontId="11" fillId="3" borderId="1" xfId="0" applyNumberFormat="1" applyFont="1" applyFill="1" applyBorder="1"/>
    <xf numFmtId="0" fontId="11" fillId="3" borderId="3" xfId="0" applyFont="1" applyFill="1" applyBorder="1"/>
    <xf numFmtId="0" fontId="11" fillId="0" borderId="3" xfId="0" applyFont="1" applyBorder="1"/>
    <xf numFmtId="0" fontId="11" fillId="3" borderId="2" xfId="0" applyFont="1" applyFill="1" applyBorder="1"/>
    <xf numFmtId="0" fontId="11" fillId="0" borderId="2" xfId="0" applyFont="1" applyBorder="1"/>
    <xf numFmtId="1" fontId="11" fillId="0" borderId="0" xfId="0" applyNumberFormat="1" applyFont="1"/>
    <xf numFmtId="49" fontId="15" fillId="0" borderId="18" xfId="0" applyNumberFormat="1" applyFont="1" applyBorder="1" applyAlignment="1" applyProtection="1">
      <alignment horizontal="center" wrapText="1"/>
      <protection locked="0"/>
    </xf>
    <xf numFmtId="9" fontId="11" fillId="0" borderId="0" xfId="0" applyNumberFormat="1" applyFont="1"/>
    <xf numFmtId="0" fontId="12" fillId="0" borderId="2" xfId="0" applyFont="1" applyBorder="1"/>
    <xf numFmtId="0" fontId="18" fillId="0" borderId="0" xfId="0" applyFont="1"/>
    <xf numFmtId="0" fontId="18" fillId="3" borderId="0" xfId="0" applyFont="1" applyFill="1"/>
    <xf numFmtId="0" fontId="18" fillId="0" borderId="7" xfId="0" applyFont="1" applyBorder="1"/>
    <xf numFmtId="0" fontId="18" fillId="0" borderId="8" xfId="0" applyFont="1" applyBorder="1"/>
    <xf numFmtId="0" fontId="18" fillId="0" borderId="11" xfId="0" applyFont="1" applyBorder="1"/>
    <xf numFmtId="164" fontId="3" fillId="3" borderId="0" xfId="1" applyNumberFormat="1" applyFont="1" applyFill="1"/>
    <xf numFmtId="164" fontId="8" fillId="3" borderId="12" xfId="1" applyNumberFormat="1" applyFont="1" applyFill="1" applyBorder="1" applyAlignment="1">
      <alignment horizontal="left"/>
    </xf>
    <xf numFmtId="164" fontId="8" fillId="3" borderId="13" xfId="1" applyNumberFormat="1" applyFont="1" applyFill="1" applyBorder="1" applyAlignment="1">
      <alignment horizontal="left"/>
    </xf>
    <xf numFmtId="164" fontId="18" fillId="0" borderId="0" xfId="1" applyNumberFormat="1" applyFont="1"/>
    <xf numFmtId="0" fontId="3" fillId="0" borderId="0" xfId="0" applyFont="1" applyAlignment="1">
      <alignment horizontal="right"/>
    </xf>
    <xf numFmtId="0" fontId="18" fillId="0" borderId="1" xfId="0" applyFont="1" applyBorder="1" applyAlignment="1">
      <alignment horizontal="center"/>
    </xf>
    <xf numFmtId="0" fontId="18" fillId="5" borderId="0" xfId="0" applyFont="1" applyFill="1"/>
    <xf numFmtId="2" fontId="18" fillId="3" borderId="1" xfId="0" applyNumberFormat="1" applyFont="1" applyFill="1" applyBorder="1"/>
    <xf numFmtId="0" fontId="18" fillId="5" borderId="1" xfId="0" applyFont="1" applyFill="1" applyBorder="1"/>
    <xf numFmtId="1" fontId="18" fillId="0" borderId="2" xfId="0" applyNumberFormat="1" applyFont="1" applyBorder="1" applyAlignment="1">
      <alignment horizontal="center"/>
    </xf>
    <xf numFmtId="1" fontId="18" fillId="0" borderId="1" xfId="0" applyNumberFormat="1" applyFont="1" applyBorder="1" applyAlignment="1">
      <alignment horizontal="center"/>
    </xf>
    <xf numFmtId="165" fontId="18" fillId="0" borderId="1" xfId="0" applyNumberFormat="1" applyFont="1" applyBorder="1"/>
    <xf numFmtId="0" fontId="18" fillId="3" borderId="1" xfId="0" applyFont="1" applyFill="1" applyBorder="1" applyAlignment="1">
      <alignment horizontal="right"/>
    </xf>
    <xf numFmtId="0" fontId="18" fillId="0" borderId="1" xfId="0" applyFont="1" applyBorder="1" applyAlignment="1">
      <alignment horizontal="right"/>
    </xf>
    <xf numFmtId="165" fontId="2" fillId="0" borderId="0" xfId="0" applyNumberFormat="1" applyFont="1" applyBorder="1"/>
    <xf numFmtId="164" fontId="3" fillId="3" borderId="0" xfId="1" applyFont="1" applyFill="1"/>
    <xf numFmtId="49" fontId="7" fillId="0" borderId="5" xfId="0" applyNumberFormat="1" applyFont="1" applyBorder="1" applyAlignment="1" applyProtection="1">
      <alignment horizontal="center" vertical="center" textRotation="90" wrapText="1"/>
      <protection locked="0"/>
    </xf>
    <xf numFmtId="49" fontId="7" fillId="0" borderId="19" xfId="0" applyNumberFormat="1" applyFont="1" applyBorder="1" applyAlignment="1" applyProtection="1">
      <alignment horizontal="center" vertical="center" textRotation="90" wrapText="1"/>
      <protection locked="0"/>
    </xf>
    <xf numFmtId="0" fontId="0" fillId="3" borderId="5" xfId="0" applyFont="1" applyFill="1" applyBorder="1"/>
    <xf numFmtId="9" fontId="0" fillId="0" borderId="0" xfId="0" applyNumberFormat="1"/>
    <xf numFmtId="1" fontId="0" fillId="3" borderId="0" xfId="0" applyNumberFormat="1" applyFill="1"/>
    <xf numFmtId="165" fontId="11" fillId="0" borderId="1" xfId="0" applyNumberFormat="1" applyFont="1" applyBorder="1"/>
    <xf numFmtId="49" fontId="15" fillId="0" borderId="21" xfId="0" applyNumberFormat="1" applyFont="1" applyBorder="1" applyAlignment="1" applyProtection="1">
      <alignment horizontal="center" vertical="center" textRotation="90" wrapText="1"/>
      <protection locked="0"/>
    </xf>
    <xf numFmtId="49" fontId="15" fillId="0" borderId="0" xfId="0" applyNumberFormat="1" applyFont="1" applyBorder="1" applyAlignment="1" applyProtection="1">
      <alignment horizontal="center" vertical="center" textRotation="90" wrapText="1"/>
      <protection locked="0"/>
    </xf>
    <xf numFmtId="49" fontId="15" fillId="0" borderId="13" xfId="0" applyNumberFormat="1" applyFont="1" applyBorder="1" applyAlignment="1" applyProtection="1">
      <alignment horizontal="center" vertical="center" textRotation="90" wrapText="1"/>
      <protection locked="0"/>
    </xf>
    <xf numFmtId="0" fontId="4" fillId="3" borderId="2" xfId="3" applyFont="1" applyFill="1" applyBorder="1" applyAlignment="1">
      <alignment horizontal="center"/>
    </xf>
    <xf numFmtId="0" fontId="4" fillId="3" borderId="1" xfId="0" applyFont="1" applyFill="1" applyBorder="1" applyAlignment="1">
      <alignment horizontal="left"/>
    </xf>
    <xf numFmtId="0" fontId="13" fillId="3" borderId="22" xfId="3" applyFont="1" applyFill="1" applyBorder="1"/>
    <xf numFmtId="0" fontId="13" fillId="3" borderId="23" xfId="3" applyFont="1" applyFill="1" applyBorder="1"/>
    <xf numFmtId="0" fontId="4" fillId="3" borderId="7" xfId="0" applyFont="1" applyFill="1" applyBorder="1" applyAlignment="1">
      <alignment horizontal="left"/>
    </xf>
    <xf numFmtId="1" fontId="11" fillId="0" borderId="3" xfId="0" applyNumberFormat="1" applyFont="1" applyBorder="1" applyAlignment="1">
      <alignment horizontal="center"/>
    </xf>
    <xf numFmtId="1" fontId="18" fillId="3" borderId="1" xfId="0" applyNumberFormat="1" applyFont="1" applyFill="1" applyBorder="1" applyAlignment="1">
      <alignment horizontal="center"/>
    </xf>
    <xf numFmtId="1" fontId="0" fillId="3" borderId="2" xfId="0" applyNumberFormat="1" applyFont="1" applyFill="1" applyBorder="1"/>
    <xf numFmtId="0" fontId="13" fillId="6" borderId="22" xfId="3" applyFont="1" applyFill="1" applyBorder="1"/>
    <xf numFmtId="0" fontId="13" fillId="6" borderId="26" xfId="3" applyFont="1" applyFill="1" applyBorder="1"/>
    <xf numFmtId="0" fontId="2" fillId="6" borderId="1" xfId="0" applyFont="1" applyFill="1" applyBorder="1"/>
    <xf numFmtId="1" fontId="0" fillId="6" borderId="0" xfId="0" applyNumberFormat="1" applyFill="1"/>
    <xf numFmtId="165" fontId="0" fillId="0" borderId="1" xfId="0" applyNumberFormat="1" applyBorder="1"/>
    <xf numFmtId="10" fontId="0" fillId="0" borderId="0" xfId="0" applyNumberFormat="1"/>
    <xf numFmtId="0" fontId="4" fillId="6" borderId="6" xfId="3" applyFont="1" applyFill="1" applyBorder="1"/>
    <xf numFmtId="0" fontId="4" fillId="6" borderId="1" xfId="3" applyFont="1" applyFill="1" applyBorder="1"/>
    <xf numFmtId="0" fontId="11" fillId="0" borderId="0" xfId="0" applyFont="1" applyBorder="1"/>
    <xf numFmtId="0" fontId="7" fillId="0" borderId="6" xfId="0" applyFont="1" applyBorder="1" applyAlignment="1">
      <alignment horizontal="center" vertical="center" wrapText="1"/>
    </xf>
    <xf numFmtId="49" fontId="15" fillId="0" borderId="5" xfId="0" applyNumberFormat="1" applyFont="1" applyBorder="1" applyAlignment="1" applyProtection="1">
      <alignment horizontal="center" vertical="center" textRotation="90" wrapText="1"/>
      <protection locked="0"/>
    </xf>
    <xf numFmtId="49" fontId="15" fillId="0" borderId="2" xfId="0" applyNumberFormat="1" applyFont="1" applyBorder="1" applyAlignment="1" applyProtection="1">
      <alignment horizontal="center" vertical="center" textRotation="90" wrapText="1"/>
      <protection locked="0"/>
    </xf>
    <xf numFmtId="0" fontId="15" fillId="0" borderId="6" xfId="0" applyFont="1" applyBorder="1" applyAlignment="1">
      <alignment horizontal="center" vertical="center" wrapText="1"/>
    </xf>
    <xf numFmtId="1" fontId="7" fillId="3" borderId="1" xfId="0" applyNumberFormat="1" applyFont="1" applyFill="1" applyBorder="1" applyAlignment="1" applyProtection="1">
      <alignment horizontal="center" vertical="center" wrapText="1"/>
      <protection locked="0"/>
    </xf>
    <xf numFmtId="0" fontId="7" fillId="3" borderId="1" xfId="0" applyFont="1" applyFill="1" applyBorder="1" applyAlignment="1">
      <alignment horizontal="center" vertical="center" wrapText="1"/>
    </xf>
    <xf numFmtId="49" fontId="7" fillId="3" borderId="1" xfId="0" applyNumberFormat="1" applyFont="1" applyFill="1" applyBorder="1" applyAlignment="1" applyProtection="1">
      <alignment horizontal="center" vertical="center" textRotation="90" wrapText="1"/>
      <protection locked="0"/>
    </xf>
    <xf numFmtId="0" fontId="11" fillId="0" borderId="2" xfId="0" applyFont="1" applyFill="1" applyBorder="1"/>
    <xf numFmtId="0" fontId="11" fillId="5" borderId="24" xfId="0" applyFont="1" applyFill="1" applyBorder="1"/>
    <xf numFmtId="0" fontId="11" fillId="5" borderId="1" xfId="0" applyFont="1" applyFill="1" applyBorder="1"/>
    <xf numFmtId="0" fontId="11" fillId="5" borderId="3" xfId="0" applyFont="1" applyFill="1" applyBorder="1"/>
    <xf numFmtId="0" fontId="12" fillId="3" borderId="1" xfId="0" applyFont="1" applyFill="1" applyBorder="1"/>
    <xf numFmtId="0" fontId="11" fillId="6" borderId="0" xfId="0" applyFont="1" applyFill="1"/>
    <xf numFmtId="0" fontId="11" fillId="6" borderId="0" xfId="0" applyFont="1" applyFill="1" applyBorder="1"/>
    <xf numFmtId="0" fontId="14" fillId="6" borderId="0" xfId="3" applyFont="1" applyFill="1" applyBorder="1" applyAlignment="1">
      <alignment horizontal="left"/>
    </xf>
    <xf numFmtId="0" fontId="14" fillId="6" borderId="0" xfId="3" applyFont="1" applyFill="1" applyBorder="1" applyAlignment="1">
      <alignment horizontal="center"/>
    </xf>
    <xf numFmtId="16" fontId="14" fillId="6" borderId="0" xfId="3" applyNumberFormat="1" applyFont="1" applyFill="1" applyBorder="1" applyAlignment="1">
      <alignment horizontal="center"/>
    </xf>
    <xf numFmtId="1" fontId="11" fillId="3" borderId="7" xfId="0" applyNumberFormat="1" applyFont="1" applyFill="1" applyBorder="1"/>
    <xf numFmtId="1" fontId="11" fillId="3" borderId="8" xfId="0" applyNumberFormat="1" applyFont="1" applyFill="1" applyBorder="1"/>
    <xf numFmtId="0" fontId="11" fillId="3" borderId="16" xfId="0" applyFont="1" applyFill="1" applyBorder="1"/>
    <xf numFmtId="1" fontId="11" fillId="3" borderId="9" xfId="0" applyNumberFormat="1" applyFont="1" applyFill="1" applyBorder="1"/>
    <xf numFmtId="1" fontId="11" fillId="3" borderId="1" xfId="0" applyNumberFormat="1" applyFont="1" applyFill="1" applyBorder="1"/>
    <xf numFmtId="0" fontId="11" fillId="3" borderId="17" xfId="0" applyFont="1" applyFill="1" applyBorder="1"/>
    <xf numFmtId="0" fontId="11" fillId="3" borderId="11" xfId="0" applyFont="1" applyFill="1" applyBorder="1"/>
    <xf numFmtId="1" fontId="11" fillId="3" borderId="2" xfId="0" applyNumberFormat="1" applyFont="1" applyFill="1" applyBorder="1" applyAlignment="1">
      <alignment horizontal="center"/>
    </xf>
    <xf numFmtId="1" fontId="11" fillId="3" borderId="1" xfId="0" applyNumberFormat="1" applyFont="1" applyFill="1" applyBorder="1" applyAlignment="1">
      <alignment horizontal="center"/>
    </xf>
    <xf numFmtId="1" fontId="11" fillId="3" borderId="10" xfId="0" applyNumberFormat="1" applyFont="1" applyFill="1" applyBorder="1"/>
    <xf numFmtId="0" fontId="11" fillId="3" borderId="24" xfId="0" applyFont="1" applyFill="1" applyBorder="1"/>
    <xf numFmtId="0" fontId="12" fillId="3" borderId="7" xfId="0" applyFont="1" applyFill="1" applyBorder="1"/>
    <xf numFmtId="0" fontId="11" fillId="3" borderId="6" xfId="0" applyFont="1" applyFill="1" applyBorder="1"/>
    <xf numFmtId="165" fontId="11" fillId="0" borderId="0" xfId="0" applyNumberFormat="1" applyFont="1"/>
    <xf numFmtId="1" fontId="12" fillId="3" borderId="1" xfId="0" applyNumberFormat="1" applyFont="1" applyFill="1" applyBorder="1"/>
    <xf numFmtId="0" fontId="20" fillId="0" borderId="0" xfId="0" applyFont="1"/>
    <xf numFmtId="49" fontId="15" fillId="0" borderId="5" xfId="0" applyNumberFormat="1" applyFont="1" applyBorder="1" applyAlignment="1" applyProtection="1">
      <alignment horizontal="center" vertical="center" textRotation="90" wrapText="1"/>
      <protection locked="0"/>
    </xf>
    <xf numFmtId="49" fontId="15" fillId="0" borderId="2" xfId="0" applyNumberFormat="1" applyFont="1" applyBorder="1" applyAlignment="1" applyProtection="1">
      <alignment horizontal="center" vertical="center" textRotation="90" wrapText="1"/>
      <protection locked="0"/>
    </xf>
    <xf numFmtId="0" fontId="15" fillId="0" borderId="6" xfId="0" applyFont="1" applyBorder="1" applyAlignment="1">
      <alignment horizontal="center" vertical="center" wrapText="1"/>
    </xf>
    <xf numFmtId="1" fontId="15" fillId="0" borderId="5" xfId="0" applyNumberFormat="1" applyFont="1" applyBorder="1" applyAlignment="1" applyProtection="1">
      <alignment horizontal="center" vertical="center" wrapText="1"/>
      <protection locked="0"/>
    </xf>
    <xf numFmtId="0" fontId="18" fillId="0" borderId="11" xfId="0" applyFont="1" applyBorder="1" applyAlignment="1">
      <alignment horizontal="center"/>
    </xf>
    <xf numFmtId="0" fontId="21" fillId="0" borderId="1" xfId="0" applyFont="1" applyBorder="1"/>
    <xf numFmtId="1" fontId="7" fillId="0" borderId="5" xfId="0" applyNumberFormat="1" applyFont="1" applyBorder="1" applyAlignment="1" applyProtection="1">
      <alignment horizontal="center" vertical="center" wrapText="1"/>
      <protection locked="0"/>
    </xf>
    <xf numFmtId="0" fontId="17" fillId="0" borderId="0" xfId="0" applyFont="1"/>
    <xf numFmtId="0" fontId="15" fillId="0" borderId="24" xfId="0" applyFont="1" applyBorder="1" applyAlignment="1">
      <alignment horizontal="center" vertical="center" wrapText="1"/>
    </xf>
    <xf numFmtId="0" fontId="15" fillId="0" borderId="28" xfId="0" applyFont="1" applyBorder="1" applyAlignment="1">
      <alignment horizontal="center" vertical="center" wrapText="1"/>
    </xf>
    <xf numFmtId="0" fontId="15" fillId="0" borderId="29" xfId="0" applyFont="1" applyBorder="1" applyAlignment="1">
      <alignment horizontal="center" vertical="center" wrapText="1"/>
    </xf>
    <xf numFmtId="1" fontId="15" fillId="0" borderId="34" xfId="0" applyNumberFormat="1" applyFont="1" applyBorder="1" applyAlignment="1" applyProtection="1">
      <alignment horizontal="center" vertical="center" textRotation="90" wrapText="1"/>
      <protection locked="0"/>
    </xf>
    <xf numFmtId="1" fontId="15" fillId="0" borderId="35" xfId="0" applyNumberFormat="1" applyFont="1" applyBorder="1" applyAlignment="1" applyProtection="1">
      <alignment horizontal="center" vertical="center" textRotation="90" wrapText="1"/>
      <protection locked="0"/>
    </xf>
    <xf numFmtId="1" fontId="15" fillId="0" borderId="41" xfId="0" applyNumberFormat="1" applyFont="1" applyBorder="1" applyAlignment="1" applyProtection="1">
      <alignment horizontal="center" vertical="center" textRotation="90" wrapText="1"/>
      <protection locked="0"/>
    </xf>
    <xf numFmtId="0" fontId="15" fillId="0" borderId="34" xfId="0" applyFont="1" applyBorder="1" applyAlignment="1" applyProtection="1">
      <alignment horizontal="center" vertical="center" textRotation="90" wrapText="1"/>
      <protection locked="0"/>
    </xf>
    <xf numFmtId="0" fontId="15" fillId="0" borderId="35" xfId="0" applyFont="1" applyBorder="1" applyAlignment="1" applyProtection="1">
      <alignment horizontal="center" vertical="center" textRotation="90" wrapText="1"/>
      <protection locked="0"/>
    </xf>
    <xf numFmtId="0" fontId="15" fillId="0" borderId="41" xfId="0" applyFont="1" applyBorder="1" applyAlignment="1" applyProtection="1">
      <alignment horizontal="center" vertical="center" textRotation="90" wrapText="1"/>
      <protection locked="0"/>
    </xf>
    <xf numFmtId="49" fontId="15" fillId="0" borderId="25" xfId="0" applyNumberFormat="1" applyFont="1" applyBorder="1" applyAlignment="1" applyProtection="1">
      <alignment horizontal="center" vertical="center" wrapText="1"/>
      <protection locked="0"/>
    </xf>
    <xf numFmtId="49" fontId="15" fillId="0" borderId="38" xfId="0" applyNumberFormat="1" applyFont="1" applyBorder="1" applyAlignment="1" applyProtection="1">
      <alignment horizontal="center" vertical="center" wrapText="1"/>
      <protection locked="0"/>
    </xf>
    <xf numFmtId="49" fontId="15" fillId="0" borderId="39" xfId="0" applyNumberFormat="1" applyFont="1" applyBorder="1" applyAlignment="1" applyProtection="1">
      <alignment horizontal="center" vertical="center" wrapText="1"/>
      <protection locked="0"/>
    </xf>
    <xf numFmtId="49" fontId="15" fillId="0" borderId="3" xfId="0" applyNumberFormat="1" applyFont="1" applyBorder="1" applyAlignment="1" applyProtection="1">
      <alignment horizontal="center" vertical="center" wrapText="1"/>
      <protection locked="0"/>
    </xf>
    <xf numFmtId="49" fontId="15" fillId="0" borderId="5" xfId="0" applyNumberFormat="1" applyFont="1" applyBorder="1" applyAlignment="1" applyProtection="1">
      <alignment horizontal="center" vertical="center" wrapText="1"/>
      <protection locked="0"/>
    </xf>
    <xf numFmtId="49" fontId="15" fillId="0" borderId="2" xfId="0" applyNumberFormat="1" applyFont="1" applyBorder="1" applyAlignment="1" applyProtection="1">
      <alignment horizontal="center" vertical="center" wrapText="1"/>
      <protection locked="0"/>
    </xf>
    <xf numFmtId="49" fontId="15" fillId="3" borderId="3" xfId="0" applyNumberFormat="1" applyFont="1" applyFill="1" applyBorder="1" applyAlignment="1" applyProtection="1">
      <alignment horizontal="center" vertical="center" wrapText="1"/>
      <protection locked="0"/>
    </xf>
    <xf numFmtId="49" fontId="15" fillId="3" borderId="5" xfId="0" applyNumberFormat="1" applyFont="1" applyFill="1" applyBorder="1" applyAlignment="1" applyProtection="1">
      <alignment horizontal="center" vertical="center" wrapText="1"/>
      <protection locked="0"/>
    </xf>
    <xf numFmtId="49" fontId="15" fillId="3" borderId="2" xfId="0" applyNumberFormat="1" applyFont="1" applyFill="1" applyBorder="1" applyAlignment="1" applyProtection="1">
      <alignment horizontal="center" vertical="center" wrapText="1"/>
      <protection locked="0"/>
    </xf>
    <xf numFmtId="49" fontId="15" fillId="5" borderId="24" xfId="0" applyNumberFormat="1" applyFont="1" applyFill="1" applyBorder="1" applyAlignment="1" applyProtection="1">
      <alignment horizontal="center" vertical="center" wrapText="1"/>
      <protection locked="0"/>
    </xf>
    <xf numFmtId="49" fontId="15" fillId="5" borderId="28" xfId="0" applyNumberFormat="1" applyFont="1" applyFill="1" applyBorder="1" applyAlignment="1" applyProtection="1">
      <alignment horizontal="center" vertical="center" wrapText="1"/>
      <protection locked="0"/>
    </xf>
    <xf numFmtId="49" fontId="15" fillId="5" borderId="29" xfId="0" applyNumberFormat="1" applyFont="1" applyFill="1" applyBorder="1" applyAlignment="1" applyProtection="1">
      <alignment horizontal="center" vertical="center" wrapText="1"/>
      <protection locked="0"/>
    </xf>
    <xf numFmtId="49" fontId="15" fillId="0" borderId="24" xfId="0" applyNumberFormat="1" applyFont="1" applyBorder="1" applyAlignment="1" applyProtection="1">
      <alignment horizontal="center" vertical="center" wrapText="1"/>
      <protection locked="0"/>
    </xf>
    <xf numFmtId="49" fontId="15" fillId="0" borderId="28" xfId="0" applyNumberFormat="1" applyFont="1" applyBorder="1" applyAlignment="1" applyProtection="1">
      <alignment horizontal="center" vertical="center" wrapText="1"/>
      <protection locked="0"/>
    </xf>
    <xf numFmtId="49" fontId="15" fillId="0" borderId="29" xfId="0" applyNumberFormat="1" applyFont="1" applyBorder="1" applyAlignment="1" applyProtection="1">
      <alignment horizontal="center" vertical="center" wrapText="1"/>
      <protection locked="0"/>
    </xf>
    <xf numFmtId="49" fontId="15" fillId="0" borderId="9" xfId="0" applyNumberFormat="1" applyFont="1" applyBorder="1" applyAlignment="1" applyProtection="1">
      <alignment horizontal="center" vertical="center"/>
      <protection locked="0"/>
    </xf>
    <xf numFmtId="49" fontId="15" fillId="0" borderId="10" xfId="0" applyNumberFormat="1" applyFont="1" applyBorder="1" applyAlignment="1" applyProtection="1">
      <alignment horizontal="center" vertical="center"/>
      <protection locked="0"/>
    </xf>
    <xf numFmtId="49" fontId="15" fillId="0" borderId="6" xfId="0" applyNumberFormat="1" applyFont="1" applyBorder="1" applyAlignment="1" applyProtection="1">
      <alignment horizontal="center" vertical="center"/>
      <protection locked="0"/>
    </xf>
    <xf numFmtId="49" fontId="15" fillId="0" borderId="12" xfId="0" applyNumberFormat="1" applyFont="1" applyBorder="1" applyAlignment="1" applyProtection="1">
      <alignment horizontal="center" vertical="center"/>
      <protection locked="0"/>
    </xf>
    <xf numFmtId="49" fontId="15" fillId="0" borderId="13" xfId="0" applyNumberFormat="1" applyFont="1" applyBorder="1" applyAlignment="1" applyProtection="1">
      <alignment horizontal="center" vertical="center"/>
      <protection locked="0"/>
    </xf>
    <xf numFmtId="49" fontId="15" fillId="0" borderId="14" xfId="0" applyNumberFormat="1" applyFont="1" applyBorder="1" applyAlignment="1" applyProtection="1">
      <alignment horizontal="center" vertical="center"/>
      <protection locked="0"/>
    </xf>
    <xf numFmtId="1" fontId="15" fillId="0" borderId="9" xfId="0" applyNumberFormat="1" applyFont="1" applyBorder="1" applyAlignment="1" applyProtection="1">
      <alignment horizontal="center" vertical="center"/>
      <protection locked="0"/>
    </xf>
    <xf numFmtId="1" fontId="15" fillId="0" borderId="10" xfId="0" applyNumberFormat="1" applyFont="1" applyBorder="1" applyAlignment="1" applyProtection="1">
      <alignment horizontal="center" vertical="center"/>
      <protection locked="0"/>
    </xf>
    <xf numFmtId="1" fontId="15" fillId="0" borderId="6" xfId="0" applyNumberFormat="1" applyFont="1" applyBorder="1" applyAlignment="1" applyProtection="1">
      <alignment horizontal="center" vertical="center"/>
      <protection locked="0"/>
    </xf>
    <xf numFmtId="1" fontId="15" fillId="0" borderId="12" xfId="0" applyNumberFormat="1" applyFont="1" applyBorder="1" applyAlignment="1" applyProtection="1">
      <alignment horizontal="center" vertical="center"/>
      <protection locked="0"/>
    </xf>
    <xf numFmtId="1" fontId="15" fillId="0" borderId="13" xfId="0" applyNumberFormat="1" applyFont="1" applyBorder="1" applyAlignment="1" applyProtection="1">
      <alignment horizontal="center" vertical="center"/>
      <protection locked="0"/>
    </xf>
    <xf numFmtId="1" fontId="15" fillId="0" borderId="14" xfId="0" applyNumberFormat="1" applyFont="1" applyBorder="1" applyAlignment="1" applyProtection="1">
      <alignment horizontal="center" vertical="center"/>
      <protection locked="0"/>
    </xf>
    <xf numFmtId="0" fontId="15" fillId="0" borderId="9" xfId="0" applyFont="1" applyBorder="1" applyAlignment="1">
      <alignment horizontal="center" vertical="center" wrapText="1"/>
    </xf>
    <xf numFmtId="0" fontId="15" fillId="0" borderId="6" xfId="0" applyFont="1" applyBorder="1" applyAlignment="1">
      <alignment horizontal="center" vertical="center" wrapText="1"/>
    </xf>
    <xf numFmtId="0" fontId="15" fillId="0" borderId="12" xfId="0" applyFont="1" applyBorder="1" applyAlignment="1">
      <alignment horizontal="center" vertical="center" wrapText="1"/>
    </xf>
    <xf numFmtId="0" fontId="15" fillId="0" borderId="14" xfId="0" applyFont="1" applyBorder="1" applyAlignment="1">
      <alignment horizontal="center" vertical="center" wrapText="1"/>
    </xf>
    <xf numFmtId="0" fontId="15" fillId="0" borderId="3" xfId="0" applyFont="1" applyBorder="1" applyAlignment="1">
      <alignment wrapText="1"/>
    </xf>
    <xf numFmtId="0" fontId="15" fillId="0" borderId="5" xfId="0" applyFont="1" applyBorder="1" applyAlignment="1">
      <alignment wrapText="1"/>
    </xf>
    <xf numFmtId="0" fontId="15" fillId="0" borderId="2" xfId="0" applyFont="1" applyBorder="1" applyAlignment="1">
      <alignment wrapText="1"/>
    </xf>
    <xf numFmtId="0" fontId="15" fillId="0" borderId="3" xfId="0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1" fontId="15" fillId="0" borderId="3" xfId="0" applyNumberFormat="1" applyFont="1" applyBorder="1" applyAlignment="1" applyProtection="1">
      <alignment horizontal="center" vertical="center" wrapText="1"/>
      <protection locked="0"/>
    </xf>
    <xf numFmtId="1" fontId="15" fillId="0" borderId="5" xfId="0" applyNumberFormat="1" applyFont="1" applyBorder="1" applyAlignment="1" applyProtection="1">
      <alignment horizontal="center" vertical="center" wrapText="1"/>
      <protection locked="0"/>
    </xf>
    <xf numFmtId="1" fontId="15" fillId="0" borderId="2" xfId="0" applyNumberFormat="1" applyFont="1" applyBorder="1" applyAlignment="1" applyProtection="1">
      <alignment horizontal="center" vertical="center" wrapText="1"/>
      <protection locked="0"/>
    </xf>
    <xf numFmtId="49" fontId="15" fillId="0" borderId="3" xfId="0" applyNumberFormat="1" applyFont="1" applyFill="1" applyBorder="1" applyAlignment="1" applyProtection="1">
      <alignment horizontal="center" vertical="center" textRotation="90" wrapText="1"/>
      <protection locked="0"/>
    </xf>
    <xf numFmtId="49" fontId="15" fillId="0" borderId="5" xfId="0" applyNumberFormat="1" applyFont="1" applyFill="1" applyBorder="1" applyAlignment="1" applyProtection="1">
      <alignment horizontal="center" vertical="center" textRotation="90" wrapText="1"/>
      <protection locked="0"/>
    </xf>
    <xf numFmtId="49" fontId="15" fillId="0" borderId="2" xfId="0" applyNumberFormat="1" applyFont="1" applyFill="1" applyBorder="1" applyAlignment="1" applyProtection="1">
      <alignment horizontal="center" vertical="center" textRotation="90" wrapText="1"/>
      <protection locked="0"/>
    </xf>
    <xf numFmtId="49" fontId="15" fillId="0" borderId="3" xfId="0" applyNumberFormat="1" applyFont="1" applyBorder="1" applyAlignment="1" applyProtection="1">
      <alignment horizontal="center" vertical="center" textRotation="90" wrapText="1"/>
      <protection locked="0"/>
    </xf>
    <xf numFmtId="49" fontId="15" fillId="0" borderId="5" xfId="0" applyNumberFormat="1" applyFont="1" applyBorder="1" applyAlignment="1" applyProtection="1">
      <alignment horizontal="center" vertical="center" textRotation="90" wrapText="1"/>
      <protection locked="0"/>
    </xf>
    <xf numFmtId="49" fontId="15" fillId="0" borderId="2" xfId="0" applyNumberFormat="1" applyFont="1" applyBorder="1" applyAlignment="1" applyProtection="1">
      <alignment horizontal="center" vertical="center" textRotation="90" wrapText="1"/>
      <protection locked="0"/>
    </xf>
    <xf numFmtId="0" fontId="15" fillId="0" borderId="7" xfId="0" applyFont="1" applyBorder="1" applyAlignment="1">
      <alignment horizontal="center" wrapText="1"/>
    </xf>
    <xf numFmtId="0" fontId="15" fillId="0" borderId="8" xfId="0" applyFont="1" applyBorder="1" applyAlignment="1">
      <alignment horizontal="center" wrapText="1"/>
    </xf>
    <xf numFmtId="0" fontId="15" fillId="0" borderId="11" xfId="0" applyFont="1" applyBorder="1" applyAlignment="1">
      <alignment horizontal="center" wrapText="1"/>
    </xf>
    <xf numFmtId="0" fontId="15" fillId="0" borderId="7" xfId="0" applyFont="1" applyBorder="1" applyAlignment="1">
      <alignment horizontal="center" vertical="center" wrapText="1"/>
    </xf>
    <xf numFmtId="0" fontId="15" fillId="0" borderId="8" xfId="0" applyFont="1" applyBorder="1" applyAlignment="1">
      <alignment horizontal="center" vertical="center" wrapText="1"/>
    </xf>
    <xf numFmtId="0" fontId="15" fillId="0" borderId="11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wrapText="1"/>
    </xf>
    <xf numFmtId="0" fontId="15" fillId="0" borderId="5" xfId="0" applyFont="1" applyBorder="1" applyAlignment="1">
      <alignment horizontal="center" wrapText="1"/>
    </xf>
    <xf numFmtId="0" fontId="15" fillId="0" borderId="2" xfId="0" applyFont="1" applyBorder="1" applyAlignment="1">
      <alignment horizontal="center" wrapText="1"/>
    </xf>
    <xf numFmtId="49" fontId="15" fillId="0" borderId="3" xfId="0" applyNumberFormat="1" applyFont="1" applyBorder="1" applyAlignment="1">
      <alignment horizontal="center" vertical="center" wrapText="1"/>
    </xf>
    <xf numFmtId="49" fontId="15" fillId="0" borderId="2" xfId="0" applyNumberFormat="1" applyFont="1" applyBorder="1" applyAlignment="1">
      <alignment horizontal="center" vertical="center" wrapText="1"/>
    </xf>
    <xf numFmtId="49" fontId="15" fillId="0" borderId="34" xfId="0" applyNumberFormat="1" applyFont="1" applyBorder="1" applyAlignment="1" applyProtection="1">
      <alignment horizontal="center" vertical="center" textRotation="90" wrapText="1"/>
      <protection locked="0"/>
    </xf>
    <xf numFmtId="49" fontId="15" fillId="0" borderId="35" xfId="0" applyNumberFormat="1" applyFont="1" applyBorder="1" applyAlignment="1" applyProtection="1">
      <alignment horizontal="center" vertical="center" textRotation="90" wrapText="1"/>
      <protection locked="0"/>
    </xf>
    <xf numFmtId="49" fontId="15" fillId="0" borderId="41" xfId="0" applyNumberFormat="1" applyFont="1" applyBorder="1" applyAlignment="1" applyProtection="1">
      <alignment horizontal="center" vertical="center" textRotation="90" wrapText="1"/>
      <protection locked="0"/>
    </xf>
    <xf numFmtId="49" fontId="15" fillId="0" borderId="30" xfId="0" applyNumberFormat="1" applyFont="1" applyBorder="1" applyAlignment="1" applyProtection="1">
      <alignment horizontal="center" vertical="center"/>
      <protection locked="0"/>
    </xf>
    <xf numFmtId="49" fontId="15" fillId="0" borderId="31" xfId="0" applyNumberFormat="1" applyFont="1" applyBorder="1" applyAlignment="1" applyProtection="1">
      <alignment horizontal="center" vertical="center"/>
      <protection locked="0"/>
    </xf>
    <xf numFmtId="49" fontId="15" fillId="0" borderId="32" xfId="0" applyNumberFormat="1" applyFont="1" applyBorder="1" applyAlignment="1" applyProtection="1">
      <alignment horizontal="center" vertical="center"/>
      <protection locked="0"/>
    </xf>
    <xf numFmtId="1" fontId="15" fillId="0" borderId="33" xfId="0" applyNumberFormat="1" applyFont="1" applyBorder="1" applyAlignment="1" applyProtection="1">
      <alignment horizontal="center" vertical="center"/>
      <protection locked="0"/>
    </xf>
    <xf numFmtId="1" fontId="15" fillId="0" borderId="31" xfId="0" applyNumberFormat="1" applyFont="1" applyBorder="1" applyAlignment="1" applyProtection="1">
      <alignment horizontal="center" vertical="center"/>
      <protection locked="0"/>
    </xf>
    <xf numFmtId="1" fontId="15" fillId="0" borderId="32" xfId="0" applyNumberFormat="1" applyFont="1" applyBorder="1" applyAlignment="1" applyProtection="1">
      <alignment horizontal="center" vertical="center"/>
      <protection locked="0"/>
    </xf>
    <xf numFmtId="9" fontId="11" fillId="0" borderId="34" xfId="0" applyNumberFormat="1" applyFont="1" applyBorder="1" applyAlignment="1">
      <alignment horizontal="center" vertical="center" wrapText="1"/>
    </xf>
    <xf numFmtId="9" fontId="11" fillId="0" borderId="35" xfId="0" applyNumberFormat="1" applyFont="1" applyBorder="1" applyAlignment="1">
      <alignment horizontal="center" vertical="center" wrapText="1"/>
    </xf>
    <xf numFmtId="9" fontId="11" fillId="0" borderId="36" xfId="0" applyNumberFormat="1" applyFont="1" applyBorder="1" applyAlignment="1">
      <alignment horizontal="center" vertical="center" wrapText="1"/>
    </xf>
    <xf numFmtId="0" fontId="15" fillId="0" borderId="37" xfId="0" applyFont="1" applyBorder="1" applyAlignment="1" applyProtection="1">
      <alignment horizontal="center" vertical="center" textRotation="90" wrapText="1"/>
      <protection locked="0"/>
    </xf>
    <xf numFmtId="0" fontId="15" fillId="0" borderId="38" xfId="0" applyFont="1" applyBorder="1" applyAlignment="1" applyProtection="1">
      <alignment horizontal="center" vertical="center" textRotation="90" wrapText="1"/>
      <protection locked="0"/>
    </xf>
    <xf numFmtId="0" fontId="15" fillId="0" borderId="39" xfId="0" applyFont="1" applyBorder="1" applyAlignment="1" applyProtection="1">
      <alignment horizontal="center" vertical="center" textRotation="90" wrapText="1"/>
      <protection locked="0"/>
    </xf>
    <xf numFmtId="49" fontId="15" fillId="0" borderId="40" xfId="0" applyNumberFormat="1" applyFont="1" applyBorder="1" applyAlignment="1" applyProtection="1">
      <alignment horizontal="center" vertical="center"/>
      <protection locked="0"/>
    </xf>
    <xf numFmtId="0" fontId="14" fillId="0" borderId="3" xfId="0" applyFont="1" applyBorder="1" applyAlignment="1" applyProtection="1">
      <alignment horizontal="center" vertical="center"/>
      <protection locked="0"/>
    </xf>
    <xf numFmtId="0" fontId="14" fillId="0" borderId="5" xfId="0" applyFont="1" applyBorder="1" applyAlignment="1" applyProtection="1">
      <alignment horizontal="center" vertical="center"/>
      <protection locked="0"/>
    </xf>
    <xf numFmtId="0" fontId="14" fillId="0" borderId="2" xfId="0" applyFont="1" applyBorder="1" applyAlignment="1" applyProtection="1">
      <alignment horizontal="center" vertical="center"/>
      <protection locked="0"/>
    </xf>
    <xf numFmtId="0" fontId="15" fillId="0" borderId="19" xfId="0" applyFont="1" applyBorder="1" applyAlignment="1" applyProtection="1">
      <alignment horizontal="center" vertical="center" wrapText="1"/>
      <protection locked="0"/>
    </xf>
    <xf numFmtId="0" fontId="15" fillId="0" borderId="5" xfId="0" applyFont="1" applyBorder="1" applyAlignment="1" applyProtection="1">
      <alignment horizontal="center" vertical="center" wrapText="1"/>
      <protection locked="0"/>
    </xf>
    <xf numFmtId="0" fontId="15" fillId="0" borderId="2" xfId="0" applyFont="1" applyBorder="1" applyAlignment="1" applyProtection="1">
      <alignment horizontal="center" vertical="center" wrapText="1"/>
      <protection locked="0"/>
    </xf>
    <xf numFmtId="49" fontId="15" fillId="0" borderId="19" xfId="0" applyNumberFormat="1" applyFont="1" applyBorder="1" applyAlignment="1" applyProtection="1">
      <alignment horizontal="center" vertical="center" textRotation="90" wrapText="1"/>
      <protection locked="0"/>
    </xf>
    <xf numFmtId="49" fontId="15" fillId="0" borderId="27" xfId="0" applyNumberFormat="1" applyFont="1" applyBorder="1" applyAlignment="1" applyProtection="1">
      <alignment horizontal="center" vertical="center" textRotation="90" wrapText="1"/>
      <protection locked="0"/>
    </xf>
    <xf numFmtId="49" fontId="15" fillId="0" borderId="28" xfId="0" applyNumberFormat="1" applyFont="1" applyBorder="1" applyAlignment="1" applyProtection="1">
      <alignment horizontal="center" vertical="center" textRotation="90" wrapText="1"/>
      <protection locked="0"/>
    </xf>
    <xf numFmtId="49" fontId="15" fillId="0" borderId="29" xfId="0" applyNumberFormat="1" applyFont="1" applyBorder="1" applyAlignment="1" applyProtection="1">
      <alignment horizontal="center" vertical="center" textRotation="90" wrapText="1"/>
      <protection locked="0"/>
    </xf>
    <xf numFmtId="0" fontId="0" fillId="0" borderId="5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1" fontId="15" fillId="0" borderId="25" xfId="0" applyNumberFormat="1" applyFont="1" applyBorder="1" applyAlignment="1" applyProtection="1">
      <alignment horizontal="center" vertical="center" wrapText="1"/>
      <protection locked="0"/>
    </xf>
    <xf numFmtId="1" fontId="15" fillId="0" borderId="38" xfId="0" applyNumberFormat="1" applyFont="1" applyBorder="1" applyAlignment="1" applyProtection="1">
      <alignment horizontal="center" vertical="center" wrapText="1"/>
      <protection locked="0"/>
    </xf>
    <xf numFmtId="1" fontId="15" fillId="0" borderId="39" xfId="0" applyNumberFormat="1" applyFont="1" applyBorder="1" applyAlignment="1" applyProtection="1">
      <alignment horizontal="center" vertical="center" wrapText="1"/>
      <protection locked="0"/>
    </xf>
    <xf numFmtId="0" fontId="8" fillId="0" borderId="1" xfId="0" applyFont="1" applyBorder="1" applyAlignment="1" applyProtection="1">
      <alignment horizontal="center" vertical="center"/>
      <protection locked="0"/>
    </xf>
    <xf numFmtId="0" fontId="7" fillId="0" borderId="1" xfId="0" applyFont="1" applyBorder="1" applyAlignment="1" applyProtection="1">
      <alignment horizontal="center" vertical="center" wrapText="1"/>
      <protection locked="0"/>
    </xf>
    <xf numFmtId="49" fontId="7" fillId="3" borderId="1" xfId="0" applyNumberFormat="1" applyFont="1" applyFill="1" applyBorder="1" applyAlignment="1" applyProtection="1">
      <alignment horizontal="center" vertical="center"/>
      <protection locked="0"/>
    </xf>
    <xf numFmtId="1" fontId="7" fillId="3" borderId="1" xfId="0" applyNumberFormat="1" applyFont="1" applyFill="1" applyBorder="1" applyAlignment="1" applyProtection="1">
      <alignment horizontal="center" vertical="center"/>
      <protection locked="0"/>
    </xf>
    <xf numFmtId="9" fontId="0" fillId="3" borderId="1" xfId="0" applyNumberFormat="1" applyFont="1" applyFill="1" applyBorder="1" applyAlignment="1">
      <alignment horizontal="center" vertical="center" wrapText="1"/>
    </xf>
    <xf numFmtId="0" fontId="0" fillId="3" borderId="1" xfId="0" applyFont="1" applyFill="1" applyBorder="1" applyAlignment="1">
      <alignment horizontal="center" vertical="center" wrapText="1"/>
    </xf>
    <xf numFmtId="49" fontId="7" fillId="0" borderId="1" xfId="0" applyNumberFormat="1" applyFont="1" applyBorder="1" applyAlignment="1" applyProtection="1">
      <alignment horizontal="center" vertical="center" wrapText="1"/>
      <protection locked="0"/>
    </xf>
    <xf numFmtId="49" fontId="7" fillId="3" borderId="1" xfId="0" applyNumberFormat="1" applyFont="1" applyFill="1" applyBorder="1" applyAlignment="1" applyProtection="1">
      <alignment horizontal="center" vertical="center" wrapText="1"/>
      <protection locked="0"/>
    </xf>
    <xf numFmtId="0" fontId="7" fillId="3" borderId="1" xfId="0" applyFont="1" applyFill="1" applyBorder="1" applyAlignment="1" applyProtection="1">
      <alignment horizontal="center" vertical="center" textRotation="90" wrapText="1"/>
      <protection locked="0"/>
    </xf>
    <xf numFmtId="1" fontId="7" fillId="3" borderId="1" xfId="0" applyNumberFormat="1" applyFont="1" applyFill="1" applyBorder="1" applyAlignment="1" applyProtection="1">
      <alignment horizontal="center" vertical="center" wrapText="1"/>
      <protection locked="0"/>
    </xf>
    <xf numFmtId="0" fontId="7" fillId="3" borderId="1" xfId="0" applyFont="1" applyFill="1" applyBorder="1" applyAlignment="1">
      <alignment horizontal="center" wrapText="1"/>
    </xf>
    <xf numFmtId="0" fontId="7" fillId="3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wrapText="1"/>
    </xf>
    <xf numFmtId="49" fontId="7" fillId="3" borderId="1" xfId="0" applyNumberFormat="1" applyFont="1" applyFill="1" applyBorder="1" applyAlignment="1" applyProtection="1">
      <alignment horizontal="center" vertical="center" textRotation="90" wrapText="1"/>
      <protection locked="0"/>
    </xf>
    <xf numFmtId="49" fontId="7" fillId="3" borderId="1" xfId="0" applyNumberFormat="1" applyFont="1" applyFill="1" applyBorder="1" applyAlignment="1">
      <alignment horizontal="center" vertical="center" wrapText="1"/>
    </xf>
    <xf numFmtId="1" fontId="7" fillId="3" borderId="1" xfId="0" applyNumberFormat="1" applyFont="1" applyFill="1" applyBorder="1" applyAlignment="1" applyProtection="1">
      <alignment horizontal="center" vertical="center" textRotation="90" wrapText="1"/>
      <protection locked="0"/>
    </xf>
    <xf numFmtId="9" fontId="0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7" fillId="0" borderId="1" xfId="0" applyFont="1" applyBorder="1" applyAlignment="1" applyProtection="1">
      <alignment horizontal="center" vertical="center" textRotation="90" wrapText="1"/>
      <protection locked="0"/>
    </xf>
    <xf numFmtId="49" fontId="7" fillId="0" borderId="1" xfId="0" applyNumberFormat="1" applyFont="1" applyBorder="1" applyAlignment="1" applyProtection="1">
      <alignment horizontal="center" vertical="center"/>
      <protection locked="0"/>
    </xf>
    <xf numFmtId="1" fontId="7" fillId="0" borderId="1" xfId="0" applyNumberFormat="1" applyFont="1" applyBorder="1" applyAlignment="1" applyProtection="1">
      <alignment horizontal="center" vertical="center"/>
      <protection locked="0"/>
    </xf>
    <xf numFmtId="1" fontId="7" fillId="0" borderId="1" xfId="0" applyNumberFormat="1" applyFont="1" applyBorder="1" applyAlignment="1" applyProtection="1">
      <alignment horizontal="center" vertical="center" wrapText="1"/>
      <protection locked="0"/>
    </xf>
    <xf numFmtId="1" fontId="7" fillId="0" borderId="34" xfId="0" applyNumberFormat="1" applyFont="1" applyBorder="1" applyAlignment="1" applyProtection="1">
      <alignment horizontal="center" vertical="center" textRotation="90" wrapText="1"/>
      <protection locked="0"/>
    </xf>
    <xf numFmtId="1" fontId="7" fillId="0" borderId="35" xfId="0" applyNumberFormat="1" applyFont="1" applyBorder="1" applyAlignment="1" applyProtection="1">
      <alignment horizontal="center" vertical="center" textRotation="90" wrapText="1"/>
      <protection locked="0"/>
    </xf>
    <xf numFmtId="0" fontId="7" fillId="0" borderId="27" xfId="0" applyFont="1" applyBorder="1" applyAlignment="1" applyProtection="1">
      <alignment horizontal="center" vertical="center" textRotation="90" wrapText="1"/>
      <protection locked="0"/>
    </xf>
    <xf numFmtId="0" fontId="7" fillId="0" borderId="28" xfId="0" applyFont="1" applyBorder="1" applyAlignment="1" applyProtection="1">
      <alignment horizontal="center" vertical="center" textRotation="90" wrapText="1"/>
      <protection locked="0"/>
    </xf>
    <xf numFmtId="49" fontId="7" fillId="0" borderId="3" xfId="0" applyNumberFormat="1" applyFont="1" applyBorder="1" applyAlignment="1" applyProtection="1">
      <alignment horizontal="center" vertical="center" wrapText="1"/>
      <protection locked="0"/>
    </xf>
    <xf numFmtId="49" fontId="7" fillId="0" borderId="5" xfId="0" applyNumberFormat="1" applyFont="1" applyBorder="1" applyAlignment="1" applyProtection="1">
      <alignment horizontal="center" vertical="center" wrapText="1"/>
      <protection locked="0"/>
    </xf>
    <xf numFmtId="49" fontId="7" fillId="5" borderId="1" xfId="0" applyNumberFormat="1" applyFont="1" applyFill="1" applyBorder="1" applyAlignment="1" applyProtection="1">
      <alignment horizontal="center" vertical="center" wrapText="1"/>
      <protection locked="0"/>
    </xf>
    <xf numFmtId="0" fontId="7" fillId="0" borderId="1" xfId="0" applyFont="1" applyBorder="1" applyAlignment="1">
      <alignment horizont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wrapText="1"/>
    </xf>
    <xf numFmtId="0" fontId="7" fillId="0" borderId="5" xfId="0" applyFont="1" applyBorder="1" applyAlignment="1">
      <alignment horizontal="center" wrapText="1"/>
    </xf>
    <xf numFmtId="0" fontId="7" fillId="0" borderId="2" xfId="0" applyFont="1" applyBorder="1" applyAlignment="1">
      <alignment horizont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6" xfId="0" applyFont="1" applyBorder="1" applyAlignment="1">
      <alignment wrapText="1"/>
    </xf>
    <xf numFmtId="0" fontId="7" fillId="0" borderId="12" xfId="0" applyFont="1" applyBorder="1" applyAlignment="1">
      <alignment wrapText="1"/>
    </xf>
    <xf numFmtId="0" fontId="7" fillId="0" borderId="14" xfId="0" applyFont="1" applyBorder="1" applyAlignment="1">
      <alignment wrapText="1"/>
    </xf>
    <xf numFmtId="0" fontId="7" fillId="0" borderId="3" xfId="0" applyFont="1" applyBorder="1" applyAlignment="1">
      <alignment wrapText="1"/>
    </xf>
    <xf numFmtId="0" fontId="7" fillId="0" borderId="5" xfId="0" applyFont="1" applyBorder="1" applyAlignment="1">
      <alignment wrapText="1"/>
    </xf>
    <xf numFmtId="1" fontId="7" fillId="0" borderId="3" xfId="0" applyNumberFormat="1" applyFont="1" applyBorder="1" applyAlignment="1" applyProtection="1">
      <alignment horizontal="center" vertical="center" wrapText="1"/>
      <protection locked="0"/>
    </xf>
    <xf numFmtId="1" fontId="7" fillId="0" borderId="5" xfId="0" applyNumberFormat="1" applyFont="1" applyBorder="1" applyAlignment="1" applyProtection="1">
      <alignment horizontal="center" vertical="center" wrapText="1"/>
      <protection locked="0"/>
    </xf>
    <xf numFmtId="49" fontId="7" fillId="0" borderId="1" xfId="0" applyNumberFormat="1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center" wrapText="1"/>
    </xf>
    <xf numFmtId="49" fontId="7" fillId="0" borderId="5" xfId="0" applyNumberFormat="1" applyFont="1" applyBorder="1" applyAlignment="1" applyProtection="1">
      <alignment horizontal="center" vertical="center" textRotation="90" wrapText="1"/>
      <protection locked="0"/>
    </xf>
    <xf numFmtId="0" fontId="7" fillId="0" borderId="2" xfId="0" applyFont="1" applyBorder="1" applyAlignment="1">
      <alignment wrapText="1"/>
    </xf>
    <xf numFmtId="0" fontId="7" fillId="0" borderId="24" xfId="0" applyFont="1" applyBorder="1" applyAlignment="1">
      <alignment horizontal="center" vertical="center" wrapText="1"/>
    </xf>
    <xf numFmtId="0" fontId="7" fillId="0" borderId="28" xfId="0" applyFont="1" applyBorder="1" applyAlignment="1">
      <alignment horizontal="center" vertical="center" wrapText="1"/>
    </xf>
    <xf numFmtId="0" fontId="7" fillId="0" borderId="29" xfId="0" applyFont="1" applyBorder="1" applyAlignment="1">
      <alignment horizontal="center" vertical="center" wrapText="1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11" xfId="0" applyBorder="1" applyAlignment="1">
      <alignment horizontal="center"/>
    </xf>
    <xf numFmtId="0" fontId="7" fillId="0" borderId="40" xfId="0" applyFont="1" applyBorder="1" applyAlignment="1" applyProtection="1">
      <alignment horizontal="center" vertical="center" wrapText="1"/>
      <protection locked="0"/>
    </xf>
    <xf numFmtId="0" fontId="7" fillId="0" borderId="11" xfId="0" applyFont="1" applyBorder="1" applyAlignment="1" applyProtection="1">
      <alignment horizontal="center" vertical="center" wrapText="1"/>
      <protection locked="0"/>
    </xf>
    <xf numFmtId="0" fontId="7" fillId="0" borderId="6" xfId="0" applyFont="1" applyBorder="1" applyAlignment="1" applyProtection="1">
      <alignment horizontal="center" vertical="center" wrapText="1"/>
      <protection locked="0"/>
    </xf>
    <xf numFmtId="49" fontId="7" fillId="0" borderId="19" xfId="0" applyNumberFormat="1" applyFont="1" applyBorder="1" applyAlignment="1" applyProtection="1">
      <alignment horizontal="center" vertical="center" textRotation="90" wrapText="1"/>
      <protection locked="0"/>
    </xf>
    <xf numFmtId="0" fontId="7" fillId="0" borderId="19" xfId="0" applyFont="1" applyBorder="1" applyAlignment="1" applyProtection="1">
      <alignment horizontal="center" vertical="center" wrapText="1"/>
      <protection locked="0"/>
    </xf>
    <xf numFmtId="0" fontId="7" fillId="0" borderId="5" xfId="0" applyFont="1" applyBorder="1" applyAlignment="1" applyProtection="1">
      <alignment horizontal="center" vertical="center" wrapText="1"/>
      <protection locked="0"/>
    </xf>
    <xf numFmtId="0" fontId="0" fillId="0" borderId="5" xfId="0" applyBorder="1" applyAlignment="1">
      <alignment horizontal="center" vertical="center" textRotation="90" wrapText="1"/>
    </xf>
    <xf numFmtId="0" fontId="0" fillId="0" borderId="2" xfId="0" applyBorder="1" applyAlignment="1">
      <alignment horizontal="center" vertical="center" textRotation="90" wrapText="1"/>
    </xf>
    <xf numFmtId="49" fontId="7" fillId="0" borderId="2" xfId="0" applyNumberFormat="1" applyFont="1" applyBorder="1" applyAlignment="1" applyProtection="1">
      <alignment horizontal="center" vertical="center" textRotation="90" wrapText="1"/>
      <protection locked="0"/>
    </xf>
    <xf numFmtId="0" fontId="8" fillId="0" borderId="3" xfId="0" applyFont="1" applyBorder="1" applyAlignment="1" applyProtection="1">
      <alignment horizontal="center" vertical="center"/>
      <protection locked="0"/>
    </xf>
    <xf numFmtId="0" fontId="8" fillId="0" borderId="5" xfId="0" applyFont="1" applyBorder="1" applyAlignment="1" applyProtection="1">
      <alignment horizontal="center" vertical="center"/>
      <protection locked="0"/>
    </xf>
    <xf numFmtId="49" fontId="7" fillId="0" borderId="30" xfId="0" applyNumberFormat="1" applyFont="1" applyBorder="1" applyAlignment="1" applyProtection="1">
      <alignment horizontal="center" vertical="center"/>
      <protection locked="0"/>
    </xf>
    <xf numFmtId="49" fontId="7" fillId="0" borderId="31" xfId="0" applyNumberFormat="1" applyFont="1" applyBorder="1" applyAlignment="1" applyProtection="1">
      <alignment horizontal="center" vertical="center"/>
      <protection locked="0"/>
    </xf>
    <xf numFmtId="49" fontId="7" fillId="0" borderId="40" xfId="0" applyNumberFormat="1" applyFont="1" applyBorder="1" applyAlignment="1" applyProtection="1">
      <alignment horizontal="center" vertical="center"/>
      <protection locked="0"/>
    </xf>
    <xf numFmtId="1" fontId="7" fillId="0" borderId="30" xfId="0" applyNumberFormat="1" applyFont="1" applyBorder="1" applyAlignment="1" applyProtection="1">
      <alignment horizontal="center" vertical="center"/>
      <protection locked="0"/>
    </xf>
    <xf numFmtId="1" fontId="7" fillId="0" borderId="31" xfId="0" applyNumberFormat="1" applyFont="1" applyBorder="1" applyAlignment="1" applyProtection="1">
      <alignment horizontal="center" vertical="center"/>
      <protection locked="0"/>
    </xf>
    <xf numFmtId="9" fontId="0" fillId="0" borderId="34" xfId="0" applyNumberFormat="1" applyFont="1" applyBorder="1" applyAlignment="1">
      <alignment horizontal="center" vertical="center" wrapText="1"/>
    </xf>
    <xf numFmtId="9" fontId="0" fillId="0" borderId="35" xfId="0" applyNumberFormat="1" applyFont="1" applyBorder="1" applyAlignment="1">
      <alignment horizontal="center" vertical="center" wrapText="1"/>
    </xf>
    <xf numFmtId="0" fontId="0" fillId="0" borderId="35" xfId="0" applyFont="1" applyBorder="1" applyAlignment="1">
      <alignment horizontal="center" vertical="center" wrapText="1"/>
    </xf>
    <xf numFmtId="0" fontId="0" fillId="0" borderId="36" xfId="0" applyFont="1" applyBorder="1" applyAlignment="1">
      <alignment horizontal="center" vertical="center" wrapText="1"/>
    </xf>
    <xf numFmtId="49" fontId="7" fillId="3" borderId="3" xfId="0" applyNumberFormat="1" applyFont="1" applyFill="1" applyBorder="1" applyAlignment="1" applyProtection="1">
      <alignment horizontal="center" vertical="center" wrapText="1"/>
      <protection locked="0"/>
    </xf>
    <xf numFmtId="49" fontId="7" fillId="3" borderId="5" xfId="0" applyNumberFormat="1" applyFont="1" applyFill="1" applyBorder="1" applyAlignment="1" applyProtection="1">
      <alignment horizontal="center" vertical="center" wrapText="1"/>
      <protection locked="0"/>
    </xf>
    <xf numFmtId="0" fontId="7" fillId="0" borderId="21" xfId="0" applyFont="1" applyBorder="1" applyAlignment="1" applyProtection="1">
      <alignment horizontal="center" vertical="center" textRotation="90" wrapText="1"/>
      <protection locked="0"/>
    </xf>
    <xf numFmtId="0" fontId="7" fillId="0" borderId="0" xfId="0" applyFont="1" applyBorder="1" applyAlignment="1" applyProtection="1">
      <alignment horizontal="center" vertical="center" textRotation="90" wrapText="1"/>
      <protection locked="0"/>
    </xf>
    <xf numFmtId="0" fontId="0" fillId="0" borderId="2" xfId="0" applyFont="1" applyBorder="1" applyAlignment="1">
      <alignment horizontal="center" vertical="center" wrapText="1"/>
    </xf>
    <xf numFmtId="49" fontId="7" fillId="5" borderId="3" xfId="0" applyNumberFormat="1" applyFont="1" applyFill="1" applyBorder="1" applyAlignment="1" applyProtection="1">
      <alignment horizontal="center" vertical="center" wrapText="1"/>
      <protection locked="0"/>
    </xf>
    <xf numFmtId="49" fontId="7" fillId="5" borderId="5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9" xfId="0" applyNumberFormat="1" applyFont="1" applyBorder="1" applyAlignment="1" applyProtection="1">
      <alignment horizontal="center" vertical="center" wrapText="1"/>
      <protection locked="0"/>
    </xf>
    <xf numFmtId="49" fontId="7" fillId="0" borderId="20" xfId="0" applyNumberFormat="1" applyFont="1" applyBorder="1" applyAlignment="1" applyProtection="1">
      <alignment horizontal="center" vertical="center" wrapText="1"/>
      <protection locked="0"/>
    </xf>
    <xf numFmtId="49" fontId="7" fillId="0" borderId="9" xfId="0" applyNumberFormat="1" applyFont="1" applyBorder="1" applyAlignment="1" applyProtection="1">
      <alignment horizontal="center" vertical="center"/>
      <protection locked="0"/>
    </xf>
    <xf numFmtId="49" fontId="7" fillId="0" borderId="10" xfId="0" applyNumberFormat="1" applyFont="1" applyBorder="1" applyAlignment="1" applyProtection="1">
      <alignment horizontal="center" vertical="center"/>
      <protection locked="0"/>
    </xf>
    <xf numFmtId="49" fontId="7" fillId="0" borderId="6" xfId="0" applyNumberFormat="1" applyFont="1" applyBorder="1" applyAlignment="1" applyProtection="1">
      <alignment horizontal="center" vertical="center"/>
      <protection locked="0"/>
    </xf>
    <xf numFmtId="49" fontId="7" fillId="0" borderId="12" xfId="0" applyNumberFormat="1" applyFont="1" applyBorder="1" applyAlignment="1" applyProtection="1">
      <alignment horizontal="center" vertical="center"/>
      <protection locked="0"/>
    </xf>
    <xf numFmtId="49" fontId="7" fillId="0" borderId="13" xfId="0" applyNumberFormat="1" applyFont="1" applyBorder="1" applyAlignment="1" applyProtection="1">
      <alignment horizontal="center" vertical="center"/>
      <protection locked="0"/>
    </xf>
    <xf numFmtId="49" fontId="7" fillId="0" borderId="14" xfId="0" applyNumberFormat="1" applyFont="1" applyBorder="1" applyAlignment="1" applyProtection="1">
      <alignment horizontal="center" vertical="center"/>
      <protection locked="0"/>
    </xf>
    <xf numFmtId="1" fontId="7" fillId="0" borderId="9" xfId="0" applyNumberFormat="1" applyFont="1" applyBorder="1" applyAlignment="1" applyProtection="1">
      <alignment horizontal="center" vertical="center"/>
      <protection locked="0"/>
    </xf>
    <xf numFmtId="1" fontId="7" fillId="0" borderId="10" xfId="0" applyNumberFormat="1" applyFont="1" applyBorder="1" applyAlignment="1" applyProtection="1">
      <alignment horizontal="center" vertical="center"/>
      <protection locked="0"/>
    </xf>
    <xf numFmtId="1" fontId="7" fillId="0" borderId="6" xfId="0" applyNumberFormat="1" applyFont="1" applyBorder="1" applyAlignment="1" applyProtection="1">
      <alignment horizontal="center" vertical="center"/>
      <protection locked="0"/>
    </xf>
    <xf numFmtId="1" fontId="7" fillId="0" borderId="12" xfId="0" applyNumberFormat="1" applyFont="1" applyBorder="1" applyAlignment="1" applyProtection="1">
      <alignment horizontal="center" vertical="center"/>
      <protection locked="0"/>
    </xf>
    <xf numFmtId="1" fontId="7" fillId="0" borderId="13" xfId="0" applyNumberFormat="1" applyFont="1" applyBorder="1" applyAlignment="1" applyProtection="1">
      <alignment horizontal="center" vertical="center"/>
      <protection locked="0"/>
    </xf>
    <xf numFmtId="1" fontId="7" fillId="0" borderId="14" xfId="0" applyNumberFormat="1" applyFont="1" applyBorder="1" applyAlignment="1" applyProtection="1">
      <alignment horizontal="center" vertical="center"/>
      <protection locked="0"/>
    </xf>
    <xf numFmtId="0" fontId="18" fillId="0" borderId="5" xfId="0" applyFont="1" applyBorder="1" applyAlignment="1">
      <alignment horizontal="center" vertical="center" textRotation="90" wrapText="1"/>
    </xf>
    <xf numFmtId="0" fontId="18" fillId="0" borderId="2" xfId="0" applyFont="1" applyBorder="1" applyAlignment="1">
      <alignment horizontal="center" vertical="center" textRotation="90" wrapText="1"/>
    </xf>
    <xf numFmtId="49" fontId="7" fillId="0" borderId="19" xfId="0" applyNumberFormat="1" applyFont="1" applyBorder="1" applyAlignment="1" applyProtection="1">
      <alignment horizontal="center" vertical="center" textRotation="91" wrapText="1"/>
      <protection locked="0"/>
    </xf>
    <xf numFmtId="49" fontId="7" fillId="0" borderId="5" xfId="0" applyNumberFormat="1" applyFont="1" applyBorder="1" applyAlignment="1" applyProtection="1">
      <alignment horizontal="center" vertical="center" textRotation="91" wrapText="1"/>
      <protection locked="0"/>
    </xf>
    <xf numFmtId="49" fontId="7" fillId="0" borderId="2" xfId="0" applyNumberFormat="1" applyFont="1" applyBorder="1" applyAlignment="1" applyProtection="1">
      <alignment horizontal="center" vertical="center" textRotation="91" wrapText="1"/>
      <protection locked="0"/>
    </xf>
    <xf numFmtId="9" fontId="18" fillId="0" borderId="34" xfId="0" applyNumberFormat="1" applyFont="1" applyBorder="1" applyAlignment="1">
      <alignment horizontal="center" vertical="center" wrapText="1"/>
    </xf>
    <xf numFmtId="9" fontId="18" fillId="0" borderId="35" xfId="0" applyNumberFormat="1" applyFont="1" applyBorder="1" applyAlignment="1">
      <alignment horizontal="center" vertical="center" wrapText="1"/>
    </xf>
    <xf numFmtId="0" fontId="18" fillId="0" borderId="35" xfId="0" applyFont="1" applyBorder="1" applyAlignment="1">
      <alignment horizontal="center" vertical="center" wrapText="1"/>
    </xf>
    <xf numFmtId="0" fontId="18" fillId="0" borderId="36" xfId="0" applyFont="1" applyBorder="1" applyAlignment="1">
      <alignment horizontal="center" vertical="center" wrapText="1"/>
    </xf>
    <xf numFmtId="49" fontId="7" fillId="0" borderId="30" xfId="0" applyNumberFormat="1" applyFont="1" applyBorder="1" applyAlignment="1" applyProtection="1">
      <alignment horizontal="center" vertical="center" wrapText="1"/>
      <protection locked="0"/>
    </xf>
    <xf numFmtId="49" fontId="7" fillId="0" borderId="31" xfId="0" applyNumberFormat="1" applyFont="1" applyBorder="1" applyAlignment="1" applyProtection="1">
      <alignment horizontal="center" vertical="center" wrapText="1"/>
      <protection locked="0"/>
    </xf>
    <xf numFmtId="49" fontId="7" fillId="0" borderId="40" xfId="0" applyNumberFormat="1" applyFont="1" applyBorder="1" applyAlignment="1" applyProtection="1">
      <alignment horizontal="center" vertical="center" wrapText="1"/>
      <protection locked="0"/>
    </xf>
    <xf numFmtId="0" fontId="18" fillId="0" borderId="5" xfId="0" applyFont="1" applyBorder="1" applyAlignment="1">
      <alignment horizontal="center" vertical="center" wrapText="1"/>
    </xf>
    <xf numFmtId="0" fontId="18" fillId="0" borderId="2" xfId="0" applyFont="1" applyBorder="1" applyAlignment="1">
      <alignment horizontal="center" vertical="center" wrapText="1"/>
    </xf>
    <xf numFmtId="49" fontId="7" fillId="0" borderId="19" xfId="0" applyNumberFormat="1" applyFont="1" applyBorder="1" applyAlignment="1" applyProtection="1">
      <alignment horizontal="center" vertical="center" wrapText="1"/>
      <protection locked="0"/>
    </xf>
    <xf numFmtId="49" fontId="7" fillId="0" borderId="2" xfId="0" applyNumberFormat="1" applyFont="1" applyBorder="1" applyAlignment="1" applyProtection="1">
      <alignment horizontal="center" vertical="center" wrapText="1"/>
      <protection locked="0"/>
    </xf>
    <xf numFmtId="49" fontId="7" fillId="0" borderId="3" xfId="0" applyNumberFormat="1" applyFont="1" applyBorder="1" applyAlignment="1" applyProtection="1">
      <alignment horizontal="center" vertical="center" textRotation="90" wrapText="1"/>
      <protection locked="0"/>
    </xf>
  </cellXfs>
  <cellStyles count="12">
    <cellStyle name="Денежный 2" xfId="1" xr:uid="{00000000-0005-0000-0000-000001000000}"/>
    <cellStyle name="Денежный 2 2" xfId="8" xr:uid="{00000000-0005-0000-0000-000002000000}"/>
    <cellStyle name="Денежный 3" xfId="2" xr:uid="{00000000-0005-0000-0000-000003000000}"/>
    <cellStyle name="Обычный" xfId="0" builtinId="0"/>
    <cellStyle name="Обычный 10" xfId="9" xr:uid="{00000000-0005-0000-0000-000005000000}"/>
    <cellStyle name="Обычный 2" xfId="3" xr:uid="{00000000-0005-0000-0000-000006000000}"/>
    <cellStyle name="Обычный 2 2" xfId="7" xr:uid="{00000000-0005-0000-0000-000007000000}"/>
    <cellStyle name="Обычный 3" xfId="4" xr:uid="{00000000-0005-0000-0000-000008000000}"/>
    <cellStyle name="Обычный 3 2" xfId="6" xr:uid="{00000000-0005-0000-0000-000009000000}"/>
    <cellStyle name="Процентный 2" xfId="5" xr:uid="{00000000-0005-0000-0000-00000A000000}"/>
    <cellStyle name="Финансовый 2" xfId="10" xr:uid="{00000000-0005-0000-0000-00000C000000}"/>
    <cellStyle name="Финансовый 4" xfId="11" xr:uid="{00000000-0005-0000-0000-00000D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AW152"/>
  <sheetViews>
    <sheetView view="pageBreakPreview" topLeftCell="E79" zoomScale="93" zoomScaleSheetLayoutView="93" workbookViewId="0">
      <selection activeCell="A50" sqref="A50:AR101"/>
    </sheetView>
  </sheetViews>
  <sheetFormatPr defaultColWidth="9.140625" defaultRowHeight="12" x14ac:dyDescent="0.2"/>
  <cols>
    <col min="1" max="1" width="5.140625" style="81" customWidth="1"/>
    <col min="2" max="2" width="16.7109375" style="81" customWidth="1"/>
    <col min="3" max="3" width="6.5703125" style="81" customWidth="1"/>
    <col min="4" max="4" width="10" style="81" customWidth="1"/>
    <col min="5" max="9" width="6.5703125" style="81" customWidth="1"/>
    <col min="10" max="10" width="8.42578125" style="81" customWidth="1"/>
    <col min="11" max="11" width="6.5703125" style="81" customWidth="1"/>
    <col min="12" max="12" width="7.85546875" style="81" customWidth="1"/>
    <col min="13" max="13" width="7.140625" style="81" customWidth="1"/>
    <col min="14" max="14" width="6.5703125" style="81" hidden="1" customWidth="1"/>
    <col min="15" max="15" width="7.85546875" style="81" hidden="1" customWidth="1"/>
    <col min="16" max="20" width="7.85546875" style="81" customWidth="1"/>
    <col min="21" max="21" width="0.28515625" style="81" customWidth="1"/>
    <col min="22" max="31" width="7.85546875" style="81" hidden="1" customWidth="1"/>
    <col min="32" max="32" width="9.140625" style="81"/>
    <col min="33" max="33" width="7.85546875" style="81" customWidth="1"/>
    <col min="34" max="34" width="8" style="81" customWidth="1"/>
    <col min="35" max="35" width="7.5703125" style="87" hidden="1" customWidth="1"/>
    <col min="36" max="36" width="4.28515625" style="81" hidden="1" customWidth="1"/>
    <col min="37" max="37" width="4.85546875" style="81" hidden="1" customWidth="1"/>
    <col min="38" max="38" width="6.140625" style="81" hidden="1" customWidth="1"/>
    <col min="39" max="39" width="9.140625" style="81"/>
    <col min="40" max="40" width="0.140625" style="81" customWidth="1"/>
    <col min="41" max="41" width="3.7109375" style="81" hidden="1" customWidth="1"/>
    <col min="42" max="16384" width="9.140625" style="81"/>
  </cols>
  <sheetData>
    <row r="2" spans="1:44" x14ac:dyDescent="0.2">
      <c r="M2" s="82"/>
      <c r="N2" s="83" t="s">
        <v>193</v>
      </c>
      <c r="O2" s="84"/>
      <c r="P2" s="84"/>
      <c r="Q2" s="85" t="s">
        <v>44</v>
      </c>
      <c r="R2" s="86" t="s">
        <v>45</v>
      </c>
      <c r="S2" s="86" t="s">
        <v>46</v>
      </c>
      <c r="T2" s="86" t="s">
        <v>47</v>
      </c>
    </row>
    <row r="3" spans="1:44" x14ac:dyDescent="0.2">
      <c r="B3" s="66" t="s">
        <v>87</v>
      </c>
      <c r="C3" s="66"/>
      <c r="D3" s="66"/>
      <c r="E3" s="66"/>
      <c r="F3" s="66"/>
      <c r="G3" s="66"/>
      <c r="M3" s="82"/>
      <c r="N3" s="83" t="s">
        <v>48</v>
      </c>
      <c r="O3" s="88"/>
      <c r="P3" s="88"/>
      <c r="Q3" s="89">
        <v>14</v>
      </c>
      <c r="R3" s="89">
        <v>17</v>
      </c>
      <c r="S3" s="89">
        <v>6</v>
      </c>
      <c r="T3" s="89">
        <f>Q3+R3+S3</f>
        <v>37</v>
      </c>
    </row>
    <row r="4" spans="1:44" x14ac:dyDescent="0.2">
      <c r="B4" s="66" t="s">
        <v>88</v>
      </c>
      <c r="C4" s="66"/>
      <c r="D4" s="66"/>
      <c r="E4" s="66"/>
      <c r="F4" s="66"/>
      <c r="G4" s="66"/>
      <c r="M4" s="82"/>
      <c r="N4" s="90" t="s">
        <v>49</v>
      </c>
      <c r="O4" s="91"/>
      <c r="P4" s="91"/>
      <c r="Q4" s="89">
        <v>14</v>
      </c>
      <c r="R4" s="89">
        <v>17</v>
      </c>
      <c r="S4" s="89">
        <v>6</v>
      </c>
      <c r="T4" s="89">
        <f t="shared" ref="T4:T10" si="0">Q4+R4+S4</f>
        <v>37</v>
      </c>
    </row>
    <row r="5" spans="1:44" x14ac:dyDescent="0.2">
      <c r="M5" s="82"/>
      <c r="N5" s="92" t="s">
        <v>59</v>
      </c>
      <c r="O5" s="93"/>
      <c r="P5" s="94"/>
      <c r="Q5" s="94">
        <v>260</v>
      </c>
      <c r="R5" s="95">
        <v>259</v>
      </c>
      <c r="S5" s="95">
        <v>62</v>
      </c>
      <c r="T5" s="89">
        <f t="shared" si="0"/>
        <v>581</v>
      </c>
    </row>
    <row r="6" spans="1:44" x14ac:dyDescent="0.2">
      <c r="M6" s="96"/>
      <c r="N6" s="97" t="s">
        <v>50</v>
      </c>
      <c r="O6" s="98"/>
      <c r="P6" s="98"/>
      <c r="Q6" s="99">
        <v>344</v>
      </c>
      <c r="R6" s="99">
        <v>539</v>
      </c>
      <c r="S6" s="99">
        <v>202</v>
      </c>
      <c r="T6" s="89">
        <f t="shared" si="0"/>
        <v>1085</v>
      </c>
      <c r="U6" s="100"/>
      <c r="V6" s="100"/>
      <c r="AD6" s="100"/>
      <c r="AE6" s="100"/>
      <c r="AF6" s="100"/>
      <c r="AG6" s="100"/>
      <c r="AH6" s="100"/>
      <c r="AI6" s="101"/>
      <c r="AJ6" s="100"/>
      <c r="AK6" s="100"/>
      <c r="AL6" s="100"/>
      <c r="AM6" s="100"/>
    </row>
    <row r="7" spans="1:44" x14ac:dyDescent="0.2">
      <c r="M7" s="82"/>
      <c r="N7" s="83" t="s">
        <v>51</v>
      </c>
      <c r="O7" s="88"/>
      <c r="P7" s="88"/>
      <c r="Q7" s="102">
        <f>Q6+Q8+Q9</f>
        <v>428</v>
      </c>
      <c r="R7" s="102">
        <f>R6+R8+R9</f>
        <v>624</v>
      </c>
      <c r="S7" s="102">
        <f>S6+S8+S9</f>
        <v>232</v>
      </c>
      <c r="T7" s="89">
        <f t="shared" si="0"/>
        <v>1284</v>
      </c>
      <c r="U7" s="81" t="s">
        <v>185</v>
      </c>
    </row>
    <row r="8" spans="1:44" x14ac:dyDescent="0.2">
      <c r="M8" s="82"/>
      <c r="N8" s="90" t="s">
        <v>52</v>
      </c>
      <c r="O8" s="91"/>
      <c r="P8" s="91"/>
      <c r="Q8" s="103">
        <v>30</v>
      </c>
      <c r="R8" s="103">
        <v>44</v>
      </c>
      <c r="S8" s="103">
        <v>30</v>
      </c>
      <c r="T8" s="89">
        <f t="shared" si="0"/>
        <v>104</v>
      </c>
      <c r="AD8" s="104"/>
    </row>
    <row r="9" spans="1:44" x14ac:dyDescent="0.2">
      <c r="E9" s="66" t="s">
        <v>198</v>
      </c>
      <c r="F9" s="66"/>
      <c r="G9" s="66"/>
      <c r="H9" s="66"/>
      <c r="I9" s="66"/>
      <c r="J9" s="66"/>
      <c r="M9" s="105"/>
      <c r="N9" s="83" t="s">
        <v>53</v>
      </c>
      <c r="O9" s="106"/>
      <c r="P9" s="107"/>
      <c r="Q9" s="108">
        <v>54</v>
      </c>
      <c r="R9" s="86">
        <v>41</v>
      </c>
      <c r="S9" s="86">
        <v>0</v>
      </c>
      <c r="T9" s="89">
        <f t="shared" si="0"/>
        <v>95</v>
      </c>
    </row>
    <row r="10" spans="1:44" x14ac:dyDescent="0.2">
      <c r="H10" s="66" t="s">
        <v>134</v>
      </c>
      <c r="I10" s="66"/>
      <c r="J10" s="66"/>
      <c r="K10" s="66"/>
      <c r="L10" s="66"/>
      <c r="M10" s="82"/>
      <c r="N10" s="95"/>
      <c r="O10" s="95" t="s">
        <v>54</v>
      </c>
      <c r="P10" s="95"/>
      <c r="Q10" s="86">
        <v>81</v>
      </c>
      <c r="R10" s="72"/>
      <c r="S10" s="72"/>
      <c r="T10" s="89">
        <f t="shared" si="0"/>
        <v>81</v>
      </c>
    </row>
    <row r="11" spans="1:44" ht="12.75" thickBot="1" x14ac:dyDescent="0.25">
      <c r="B11" s="81" t="s">
        <v>163</v>
      </c>
      <c r="M11" s="82"/>
      <c r="O11" s="109"/>
      <c r="R11" s="81" t="s">
        <v>154</v>
      </c>
    </row>
    <row r="12" spans="1:44" ht="34.5" customHeight="1" x14ac:dyDescent="0.2">
      <c r="A12" s="300" t="s">
        <v>18</v>
      </c>
      <c r="B12" s="303" t="s">
        <v>19</v>
      </c>
      <c r="C12" s="306" t="s">
        <v>20</v>
      </c>
      <c r="D12" s="303" t="s">
        <v>21</v>
      </c>
      <c r="E12" s="306" t="s">
        <v>22</v>
      </c>
      <c r="F12" s="306" t="s">
        <v>23</v>
      </c>
      <c r="G12" s="306" t="s">
        <v>24</v>
      </c>
      <c r="H12" s="306" t="s">
        <v>55</v>
      </c>
      <c r="I12" s="307" t="s">
        <v>25</v>
      </c>
      <c r="J12" s="157"/>
      <c r="K12" s="127" t="s">
        <v>26</v>
      </c>
      <c r="L12" s="110" t="s">
        <v>27</v>
      </c>
      <c r="M12" s="287" t="s">
        <v>28</v>
      </c>
      <c r="N12" s="288"/>
      <c r="O12" s="289"/>
      <c r="P12" s="290" t="s">
        <v>27</v>
      </c>
      <c r="Q12" s="291"/>
      <c r="R12" s="292"/>
      <c r="S12" s="293">
        <v>0.25</v>
      </c>
      <c r="T12" s="296" t="s">
        <v>30</v>
      </c>
      <c r="U12" s="287" t="s">
        <v>29</v>
      </c>
      <c r="V12" s="288"/>
      <c r="W12" s="288"/>
      <c r="X12" s="288"/>
      <c r="Y12" s="288"/>
      <c r="Z12" s="299"/>
      <c r="AA12" s="273" t="s">
        <v>4</v>
      </c>
      <c r="AB12" s="275"/>
      <c r="AC12" s="261" t="s">
        <v>3</v>
      </c>
      <c r="AD12" s="261" t="s">
        <v>43</v>
      </c>
      <c r="AE12" s="273" t="s">
        <v>11</v>
      </c>
      <c r="AF12" s="274"/>
      <c r="AG12" s="274"/>
      <c r="AH12" s="275"/>
      <c r="AI12" s="276" t="s">
        <v>6</v>
      </c>
      <c r="AJ12" s="277"/>
      <c r="AK12" s="278"/>
      <c r="AL12" s="270" t="s">
        <v>197</v>
      </c>
      <c r="AM12" s="279" t="s">
        <v>12</v>
      </c>
      <c r="AN12" s="273" t="s">
        <v>16</v>
      </c>
      <c r="AO12" s="275"/>
      <c r="AP12" s="218" t="s">
        <v>14</v>
      </c>
      <c r="AQ12" s="221" t="s">
        <v>31</v>
      </c>
      <c r="AR12" s="224" t="s">
        <v>32</v>
      </c>
    </row>
    <row r="13" spans="1:44" ht="11.45" customHeight="1" x14ac:dyDescent="0.2">
      <c r="A13" s="301"/>
      <c r="B13" s="304"/>
      <c r="C13" s="271"/>
      <c r="D13" s="304"/>
      <c r="E13" s="271"/>
      <c r="F13" s="271"/>
      <c r="G13" s="271"/>
      <c r="H13" s="271"/>
      <c r="I13" s="308"/>
      <c r="J13" s="158"/>
      <c r="K13" s="227" t="s">
        <v>33</v>
      </c>
      <c r="L13" s="230" t="s">
        <v>33</v>
      </c>
      <c r="M13" s="233" t="s">
        <v>0</v>
      </c>
      <c r="N13" s="230" t="s">
        <v>1</v>
      </c>
      <c r="O13" s="236" t="s">
        <v>2</v>
      </c>
      <c r="P13" s="312" t="s">
        <v>0</v>
      </c>
      <c r="Q13" s="230" t="s">
        <v>1</v>
      </c>
      <c r="R13" s="239" t="s">
        <v>2</v>
      </c>
      <c r="S13" s="294"/>
      <c r="T13" s="297"/>
      <c r="U13" s="242" t="s">
        <v>34</v>
      </c>
      <c r="V13" s="243"/>
      <c r="W13" s="244"/>
      <c r="X13" s="248" t="s">
        <v>35</v>
      </c>
      <c r="Y13" s="249"/>
      <c r="Z13" s="250"/>
      <c r="AA13" s="254" t="s">
        <v>17</v>
      </c>
      <c r="AB13" s="255"/>
      <c r="AC13" s="262"/>
      <c r="AD13" s="262"/>
      <c r="AE13" s="258" t="s">
        <v>10</v>
      </c>
      <c r="AF13" s="261" t="s">
        <v>9</v>
      </c>
      <c r="AG13" s="264" t="s">
        <v>8</v>
      </c>
      <c r="AH13" s="264" t="s">
        <v>7</v>
      </c>
      <c r="AI13" s="267" t="s">
        <v>36</v>
      </c>
      <c r="AJ13" s="270" t="s">
        <v>37</v>
      </c>
      <c r="AK13" s="270" t="s">
        <v>38</v>
      </c>
      <c r="AL13" s="310"/>
      <c r="AM13" s="280"/>
      <c r="AN13" s="258" t="s">
        <v>13</v>
      </c>
      <c r="AO13" s="258" t="s">
        <v>15</v>
      </c>
      <c r="AP13" s="219"/>
      <c r="AQ13" s="222"/>
      <c r="AR13" s="225"/>
    </row>
    <row r="14" spans="1:44" x14ac:dyDescent="0.2">
      <c r="A14" s="301"/>
      <c r="B14" s="304"/>
      <c r="C14" s="271"/>
      <c r="D14" s="304"/>
      <c r="E14" s="271"/>
      <c r="F14" s="271"/>
      <c r="G14" s="271"/>
      <c r="H14" s="271"/>
      <c r="I14" s="308"/>
      <c r="J14" s="158"/>
      <c r="K14" s="228"/>
      <c r="L14" s="231"/>
      <c r="M14" s="234"/>
      <c r="N14" s="231"/>
      <c r="O14" s="237"/>
      <c r="P14" s="313"/>
      <c r="Q14" s="231"/>
      <c r="R14" s="240"/>
      <c r="S14" s="294"/>
      <c r="T14" s="297"/>
      <c r="U14" s="245"/>
      <c r="V14" s="246"/>
      <c r="W14" s="247"/>
      <c r="X14" s="251"/>
      <c r="Y14" s="252"/>
      <c r="Z14" s="253"/>
      <c r="AA14" s="256"/>
      <c r="AB14" s="257"/>
      <c r="AC14" s="262"/>
      <c r="AD14" s="262"/>
      <c r="AE14" s="259"/>
      <c r="AF14" s="262"/>
      <c r="AG14" s="265"/>
      <c r="AH14" s="265"/>
      <c r="AI14" s="268"/>
      <c r="AJ14" s="271"/>
      <c r="AK14" s="271"/>
      <c r="AL14" s="310"/>
      <c r="AM14" s="280"/>
      <c r="AN14" s="259"/>
      <c r="AO14" s="259"/>
      <c r="AP14" s="219"/>
      <c r="AQ14" s="222"/>
      <c r="AR14" s="225"/>
    </row>
    <row r="15" spans="1:44" ht="11.45" customHeight="1" x14ac:dyDescent="0.2">
      <c r="A15" s="301"/>
      <c r="B15" s="304"/>
      <c r="C15" s="271"/>
      <c r="D15" s="304"/>
      <c r="E15" s="271"/>
      <c r="F15" s="271"/>
      <c r="G15" s="271"/>
      <c r="H15" s="271"/>
      <c r="I15" s="308"/>
      <c r="J15" s="158"/>
      <c r="K15" s="228"/>
      <c r="L15" s="231"/>
      <c r="M15" s="234"/>
      <c r="N15" s="231"/>
      <c r="O15" s="237"/>
      <c r="P15" s="313"/>
      <c r="Q15" s="231"/>
      <c r="R15" s="240"/>
      <c r="S15" s="294"/>
      <c r="T15" s="297"/>
      <c r="U15" s="230" t="s">
        <v>0</v>
      </c>
      <c r="V15" s="230" t="s">
        <v>1</v>
      </c>
      <c r="W15" s="230" t="s">
        <v>2</v>
      </c>
      <c r="X15" s="264" t="s">
        <v>0</v>
      </c>
      <c r="Y15" s="264" t="s">
        <v>1</v>
      </c>
      <c r="Z15" s="264" t="s">
        <v>2</v>
      </c>
      <c r="AA15" s="111"/>
      <c r="AB15" s="111"/>
      <c r="AC15" s="262"/>
      <c r="AD15" s="262"/>
      <c r="AE15" s="259"/>
      <c r="AF15" s="262"/>
      <c r="AG15" s="265"/>
      <c r="AH15" s="265"/>
      <c r="AI15" s="268"/>
      <c r="AJ15" s="271"/>
      <c r="AK15" s="271"/>
      <c r="AL15" s="310"/>
      <c r="AM15" s="280"/>
      <c r="AN15" s="259"/>
      <c r="AO15" s="259"/>
      <c r="AP15" s="219"/>
      <c r="AQ15" s="222"/>
      <c r="AR15" s="225"/>
    </row>
    <row r="16" spans="1:44" x14ac:dyDescent="0.2">
      <c r="A16" s="301"/>
      <c r="B16" s="304"/>
      <c r="C16" s="271"/>
      <c r="D16" s="304"/>
      <c r="E16" s="271"/>
      <c r="F16" s="271"/>
      <c r="G16" s="271"/>
      <c r="H16" s="271"/>
      <c r="I16" s="308"/>
      <c r="J16" s="158"/>
      <c r="K16" s="228"/>
      <c r="L16" s="231"/>
      <c r="M16" s="234"/>
      <c r="N16" s="231"/>
      <c r="O16" s="237"/>
      <c r="P16" s="313"/>
      <c r="Q16" s="231"/>
      <c r="R16" s="240"/>
      <c r="S16" s="294"/>
      <c r="T16" s="297"/>
      <c r="U16" s="231"/>
      <c r="V16" s="231"/>
      <c r="W16" s="231"/>
      <c r="X16" s="265"/>
      <c r="Y16" s="265"/>
      <c r="Z16" s="265"/>
      <c r="AA16" s="282" t="s">
        <v>0</v>
      </c>
      <c r="AB16" s="282" t="s">
        <v>5</v>
      </c>
      <c r="AC16" s="262"/>
      <c r="AD16" s="262"/>
      <c r="AE16" s="259"/>
      <c r="AF16" s="262"/>
      <c r="AG16" s="265"/>
      <c r="AH16" s="265"/>
      <c r="AI16" s="268"/>
      <c r="AJ16" s="271"/>
      <c r="AK16" s="271"/>
      <c r="AL16" s="310"/>
      <c r="AM16" s="280"/>
      <c r="AN16" s="259"/>
      <c r="AO16" s="259"/>
      <c r="AP16" s="219"/>
      <c r="AQ16" s="222"/>
      <c r="AR16" s="225"/>
    </row>
    <row r="17" spans="1:49" ht="12.75" thickBot="1" x14ac:dyDescent="0.25">
      <c r="A17" s="302"/>
      <c r="B17" s="305"/>
      <c r="C17" s="272"/>
      <c r="D17" s="305"/>
      <c r="E17" s="272"/>
      <c r="F17" s="272"/>
      <c r="G17" s="272"/>
      <c r="H17" s="272"/>
      <c r="I17" s="309"/>
      <c r="J17" s="159"/>
      <c r="K17" s="229"/>
      <c r="L17" s="232"/>
      <c r="M17" s="235"/>
      <c r="N17" s="232"/>
      <c r="O17" s="238"/>
      <c r="P17" s="314"/>
      <c r="Q17" s="232"/>
      <c r="R17" s="241"/>
      <c r="S17" s="295"/>
      <c r="T17" s="298"/>
      <c r="U17" s="232"/>
      <c r="V17" s="232"/>
      <c r="W17" s="232"/>
      <c r="X17" s="266"/>
      <c r="Y17" s="266"/>
      <c r="Z17" s="266"/>
      <c r="AA17" s="283"/>
      <c r="AB17" s="283"/>
      <c r="AC17" s="263"/>
      <c r="AD17" s="263"/>
      <c r="AE17" s="260"/>
      <c r="AF17" s="263"/>
      <c r="AG17" s="266"/>
      <c r="AH17" s="266"/>
      <c r="AI17" s="269"/>
      <c r="AJ17" s="272"/>
      <c r="AK17" s="272"/>
      <c r="AL17" s="311"/>
      <c r="AM17" s="281"/>
      <c r="AN17" s="260"/>
      <c r="AO17" s="260"/>
      <c r="AP17" s="220"/>
      <c r="AQ17" s="223"/>
      <c r="AR17" s="226"/>
      <c r="AS17" s="128"/>
      <c r="AV17" s="128"/>
      <c r="AW17" s="128"/>
    </row>
    <row r="18" spans="1:49" s="82" customFormat="1" ht="12.75" x14ac:dyDescent="0.2">
      <c r="A18" s="118">
        <v>1</v>
      </c>
      <c r="B18" s="74" t="s">
        <v>135</v>
      </c>
      <c r="C18" s="74" t="s">
        <v>60</v>
      </c>
      <c r="D18" s="74" t="s">
        <v>109</v>
      </c>
      <c r="E18" s="112" t="s">
        <v>80</v>
      </c>
      <c r="F18" s="112">
        <v>26</v>
      </c>
      <c r="G18" s="118">
        <v>5.41</v>
      </c>
      <c r="H18" s="118">
        <v>17697</v>
      </c>
      <c r="I18" s="194">
        <f t="shared" ref="I18:I37" si="1">G18*H18</f>
        <v>95740.77</v>
      </c>
      <c r="J18" s="195"/>
      <c r="K18" s="196"/>
      <c r="L18" s="118"/>
      <c r="M18" s="118">
        <v>15</v>
      </c>
      <c r="N18" s="118"/>
      <c r="O18" s="199"/>
      <c r="P18" s="200">
        <f t="shared" ref="P18:P38" si="2">I18/18*M18</f>
        <v>79783.975000000006</v>
      </c>
      <c r="Q18" s="118">
        <f t="shared" ref="Q18:Q38" si="3">I18/18*N18</f>
        <v>0</v>
      </c>
      <c r="R18" s="118">
        <f t="shared" ref="R18:R38" si="4">I18/18*O18</f>
        <v>0</v>
      </c>
      <c r="S18" s="201">
        <f t="shared" ref="S18:S38" si="5">(L18+P18+Q18+R18)*25%</f>
        <v>19945.993750000001</v>
      </c>
      <c r="T18" s="202">
        <f t="shared" ref="T18:T38" si="6">(P18+Q18+R18+L18+S18)*10%</f>
        <v>9972.9968750000007</v>
      </c>
      <c r="U18" s="118"/>
      <c r="V18" s="118"/>
      <c r="W18" s="118"/>
      <c r="X18" s="118"/>
      <c r="Y18" s="118"/>
      <c r="Z18" s="118"/>
      <c r="AA18" s="118"/>
      <c r="AB18" s="118"/>
      <c r="AC18" s="118"/>
      <c r="AD18" s="118"/>
      <c r="AE18" s="118"/>
      <c r="AF18" s="51">
        <f t="shared" ref="AF18:AF27" si="7">(P18+Q18+R18+S18)*40%</f>
        <v>39891.987500000003</v>
      </c>
      <c r="AG18" s="118"/>
      <c r="AH18" s="118"/>
      <c r="AI18" s="118"/>
      <c r="AJ18" s="118"/>
      <c r="AK18" s="118"/>
      <c r="AL18" s="118"/>
      <c r="AM18" s="121">
        <f t="shared" ref="AM18:AM38" si="8">AU18</f>
        <v>29918.990625000002</v>
      </c>
      <c r="AN18" s="118"/>
      <c r="AO18" s="118"/>
      <c r="AP18" s="202">
        <f t="shared" ref="AP18:AP25" si="9">AM18+AN18+AH18+AG18+AF18</f>
        <v>69810.978125000009</v>
      </c>
      <c r="AQ18" s="198">
        <f t="shared" ref="AQ18:AQ38" si="10">P18+Q18+R18+S18+T18+X18+Y18+Z18+AA18+AB18+AC18+AD18+AE18+AF18+AG18+AH18+AI18+AJ18+AK18+AM18+AN18+AO18+L18</f>
        <v>179513.94375000001</v>
      </c>
      <c r="AR18" s="198">
        <f t="shared" ref="AR18:AR38" si="11">AQ18-AP18</f>
        <v>109702.965625</v>
      </c>
      <c r="AS18" s="118">
        <f t="shared" ref="AS18:AS38" si="12">I18*25%</f>
        <v>23935.192500000001</v>
      </c>
      <c r="AT18" s="198">
        <f t="shared" ref="AT18:AT38" si="13">AS18+I18</f>
        <v>119675.96250000001</v>
      </c>
      <c r="AU18" s="121">
        <f>AT18/18*(M18+N18+O18)*30%</f>
        <v>29918.990625000002</v>
      </c>
    </row>
    <row r="19" spans="1:49" s="82" customFormat="1" ht="12.75" x14ac:dyDescent="0.2">
      <c r="A19" s="118">
        <v>2</v>
      </c>
      <c r="B19" s="119" t="s">
        <v>136</v>
      </c>
      <c r="C19" s="74" t="s">
        <v>60</v>
      </c>
      <c r="D19" s="74" t="s">
        <v>109</v>
      </c>
      <c r="E19" s="112" t="s">
        <v>80</v>
      </c>
      <c r="F19" s="112">
        <v>36</v>
      </c>
      <c r="G19" s="118">
        <v>5.41</v>
      </c>
      <c r="H19" s="118">
        <v>17697</v>
      </c>
      <c r="I19" s="194">
        <f t="shared" si="1"/>
        <v>95740.77</v>
      </c>
      <c r="J19" s="195"/>
      <c r="K19" s="196"/>
      <c r="L19" s="118"/>
      <c r="M19" s="118">
        <v>1</v>
      </c>
      <c r="N19" s="118"/>
      <c r="O19" s="199"/>
      <c r="P19" s="200">
        <f t="shared" si="2"/>
        <v>5318.9316666666673</v>
      </c>
      <c r="Q19" s="118">
        <f t="shared" si="3"/>
        <v>0</v>
      </c>
      <c r="R19" s="118">
        <f t="shared" si="4"/>
        <v>0</v>
      </c>
      <c r="S19" s="201">
        <f t="shared" si="5"/>
        <v>1329.7329166666668</v>
      </c>
      <c r="T19" s="202">
        <f t="shared" si="6"/>
        <v>664.86645833333341</v>
      </c>
      <c r="U19" s="118"/>
      <c r="V19" s="118"/>
      <c r="W19" s="118"/>
      <c r="X19" s="118"/>
      <c r="Y19" s="118"/>
      <c r="Z19" s="118"/>
      <c r="AA19" s="118"/>
      <c r="AB19" s="118"/>
      <c r="AC19" s="118"/>
      <c r="AD19" s="118"/>
      <c r="AE19" s="118"/>
      <c r="AF19" s="51">
        <f t="shared" si="7"/>
        <v>2659.4658333333336</v>
      </c>
      <c r="AG19" s="118"/>
      <c r="AH19" s="118"/>
      <c r="AI19" s="118"/>
      <c r="AJ19" s="118"/>
      <c r="AK19" s="118"/>
      <c r="AL19" s="118"/>
      <c r="AM19" s="121">
        <f t="shared" si="8"/>
        <v>1994.5993750000002</v>
      </c>
      <c r="AN19" s="118"/>
      <c r="AO19" s="118"/>
      <c r="AP19" s="202">
        <f t="shared" si="9"/>
        <v>4654.0652083333334</v>
      </c>
      <c r="AQ19" s="198">
        <f t="shared" si="10"/>
        <v>11967.596250000001</v>
      </c>
      <c r="AR19" s="198">
        <f t="shared" si="11"/>
        <v>7313.5310416666671</v>
      </c>
      <c r="AS19" s="118">
        <f t="shared" si="12"/>
        <v>23935.192500000001</v>
      </c>
      <c r="AT19" s="198">
        <f t="shared" si="13"/>
        <v>119675.96250000001</v>
      </c>
      <c r="AU19" s="121">
        <f t="shared" ref="AU19:AU38" si="14">AT19/18*(M19+N19+O19)*30%</f>
        <v>1994.5993750000002</v>
      </c>
    </row>
    <row r="20" spans="1:49" s="82" customFormat="1" ht="12.75" x14ac:dyDescent="0.2">
      <c r="A20" s="118">
        <v>3</v>
      </c>
      <c r="B20" s="74" t="s">
        <v>137</v>
      </c>
      <c r="C20" s="74" t="s">
        <v>60</v>
      </c>
      <c r="D20" s="74" t="s">
        <v>109</v>
      </c>
      <c r="E20" s="112" t="s">
        <v>80</v>
      </c>
      <c r="F20" s="112">
        <v>34</v>
      </c>
      <c r="G20" s="118">
        <v>5.41</v>
      </c>
      <c r="H20" s="118">
        <v>17697</v>
      </c>
      <c r="I20" s="194">
        <f t="shared" si="1"/>
        <v>95740.77</v>
      </c>
      <c r="J20" s="195"/>
      <c r="K20" s="196"/>
      <c r="L20" s="118"/>
      <c r="M20" s="118">
        <v>13</v>
      </c>
      <c r="N20" s="118"/>
      <c r="O20" s="199"/>
      <c r="P20" s="200">
        <f t="shared" si="2"/>
        <v>69146.111666666679</v>
      </c>
      <c r="Q20" s="118">
        <f t="shared" si="3"/>
        <v>0</v>
      </c>
      <c r="R20" s="118">
        <f t="shared" si="4"/>
        <v>0</v>
      </c>
      <c r="S20" s="201">
        <f t="shared" si="5"/>
        <v>17286.52791666667</v>
      </c>
      <c r="T20" s="202">
        <f t="shared" si="6"/>
        <v>8643.2639583333348</v>
      </c>
      <c r="U20" s="118"/>
      <c r="V20" s="118"/>
      <c r="W20" s="118"/>
      <c r="X20" s="118"/>
      <c r="Y20" s="118"/>
      <c r="Z20" s="118"/>
      <c r="AA20" s="118"/>
      <c r="AB20" s="118"/>
      <c r="AC20" s="118"/>
      <c r="AD20" s="118"/>
      <c r="AE20" s="118"/>
      <c r="AF20" s="51">
        <v>0</v>
      </c>
      <c r="AG20" s="118"/>
      <c r="AH20" s="118"/>
      <c r="AI20" s="118"/>
      <c r="AJ20" s="118"/>
      <c r="AK20" s="118"/>
      <c r="AL20" s="118"/>
      <c r="AM20" s="121">
        <f t="shared" si="8"/>
        <v>25929.791874999999</v>
      </c>
      <c r="AN20" s="118"/>
      <c r="AO20" s="118"/>
      <c r="AP20" s="202">
        <f t="shared" si="9"/>
        <v>25929.791874999999</v>
      </c>
      <c r="AQ20" s="198">
        <f t="shared" si="10"/>
        <v>121005.69541666668</v>
      </c>
      <c r="AR20" s="198">
        <f t="shared" si="11"/>
        <v>95075.903541666688</v>
      </c>
      <c r="AS20" s="118">
        <f t="shared" si="12"/>
        <v>23935.192500000001</v>
      </c>
      <c r="AT20" s="198">
        <f t="shared" si="13"/>
        <v>119675.96250000001</v>
      </c>
      <c r="AU20" s="121">
        <f t="shared" si="14"/>
        <v>25929.791874999999</v>
      </c>
    </row>
    <row r="21" spans="1:49" s="82" customFormat="1" ht="12.75" x14ac:dyDescent="0.2">
      <c r="A21" s="118">
        <v>4</v>
      </c>
      <c r="B21" s="74" t="s">
        <v>199</v>
      </c>
      <c r="C21" s="74" t="s">
        <v>60</v>
      </c>
      <c r="D21" s="74" t="s">
        <v>132</v>
      </c>
      <c r="E21" s="112" t="s">
        <v>80</v>
      </c>
      <c r="F21" s="112">
        <v>10</v>
      </c>
      <c r="G21" s="118">
        <v>5.08</v>
      </c>
      <c r="H21" s="118">
        <v>17697</v>
      </c>
      <c r="I21" s="194">
        <f t="shared" si="1"/>
        <v>89900.76</v>
      </c>
      <c r="J21" s="195"/>
      <c r="K21" s="196"/>
      <c r="L21" s="118"/>
      <c r="M21" s="118">
        <v>2</v>
      </c>
      <c r="N21" s="118"/>
      <c r="O21" s="199"/>
      <c r="P21" s="200">
        <f t="shared" si="2"/>
        <v>9988.9733333333334</v>
      </c>
      <c r="Q21" s="118">
        <f t="shared" si="3"/>
        <v>0</v>
      </c>
      <c r="R21" s="118">
        <f t="shared" si="4"/>
        <v>0</v>
      </c>
      <c r="S21" s="201">
        <f t="shared" si="5"/>
        <v>2497.2433333333333</v>
      </c>
      <c r="T21" s="202">
        <f t="shared" si="6"/>
        <v>1248.6216666666669</v>
      </c>
      <c r="U21" s="118"/>
      <c r="V21" s="118"/>
      <c r="W21" s="118"/>
      <c r="X21" s="118"/>
      <c r="Y21" s="118"/>
      <c r="Z21" s="118"/>
      <c r="AA21" s="118"/>
      <c r="AB21" s="118"/>
      <c r="AC21" s="118"/>
      <c r="AD21" s="118"/>
      <c r="AE21" s="118"/>
      <c r="AF21" s="51">
        <f t="shared" si="7"/>
        <v>4994.4866666666676</v>
      </c>
      <c r="AG21" s="118"/>
      <c r="AH21" s="118"/>
      <c r="AI21" s="118"/>
      <c r="AJ21" s="118"/>
      <c r="AK21" s="118"/>
      <c r="AL21" s="118"/>
      <c r="AM21" s="121">
        <f t="shared" si="8"/>
        <v>3745.8649999999998</v>
      </c>
      <c r="AN21" s="118"/>
      <c r="AO21" s="118"/>
      <c r="AP21" s="202">
        <f t="shared" si="9"/>
        <v>8740.3516666666674</v>
      </c>
      <c r="AQ21" s="198">
        <f t="shared" si="10"/>
        <v>22475.190000000002</v>
      </c>
      <c r="AR21" s="198">
        <f t="shared" si="11"/>
        <v>13734.838333333335</v>
      </c>
      <c r="AS21" s="118">
        <f t="shared" si="12"/>
        <v>22475.19</v>
      </c>
      <c r="AT21" s="198">
        <f t="shared" si="13"/>
        <v>112375.95</v>
      </c>
      <c r="AU21" s="121">
        <f t="shared" si="14"/>
        <v>3745.8649999999998</v>
      </c>
    </row>
    <row r="22" spans="1:49" s="82" customFormat="1" ht="12.75" x14ac:dyDescent="0.2">
      <c r="A22" s="118">
        <v>5</v>
      </c>
      <c r="B22" s="119" t="s">
        <v>138</v>
      </c>
      <c r="C22" s="82" t="s">
        <v>60</v>
      </c>
      <c r="D22" s="74" t="s">
        <v>139</v>
      </c>
      <c r="E22" s="112" t="s">
        <v>80</v>
      </c>
      <c r="F22" s="112">
        <v>22.02</v>
      </c>
      <c r="G22" s="118">
        <v>5.32</v>
      </c>
      <c r="H22" s="118">
        <v>17697</v>
      </c>
      <c r="I22" s="194">
        <f t="shared" si="1"/>
        <v>94148.040000000008</v>
      </c>
      <c r="J22" s="195"/>
      <c r="K22" s="196"/>
      <c r="L22" s="118"/>
      <c r="M22" s="118">
        <v>3</v>
      </c>
      <c r="N22" s="118"/>
      <c r="O22" s="199"/>
      <c r="P22" s="200">
        <f t="shared" si="2"/>
        <v>15691.34</v>
      </c>
      <c r="Q22" s="118">
        <f t="shared" si="3"/>
        <v>0</v>
      </c>
      <c r="R22" s="118">
        <f t="shared" si="4"/>
        <v>0</v>
      </c>
      <c r="S22" s="201">
        <f t="shared" si="5"/>
        <v>3922.835</v>
      </c>
      <c r="T22" s="202">
        <f t="shared" si="6"/>
        <v>1961.4175</v>
      </c>
      <c r="U22" s="118"/>
      <c r="V22" s="118"/>
      <c r="W22" s="118"/>
      <c r="X22" s="118"/>
      <c r="Y22" s="118"/>
      <c r="Z22" s="118"/>
      <c r="AA22" s="118"/>
      <c r="AB22" s="118"/>
      <c r="AC22" s="118"/>
      <c r="AD22" s="118"/>
      <c r="AE22" s="118"/>
      <c r="AF22" s="51">
        <v>0</v>
      </c>
      <c r="AG22" s="118"/>
      <c r="AH22" s="118"/>
      <c r="AI22" s="118"/>
      <c r="AJ22" s="118"/>
      <c r="AK22" s="118"/>
      <c r="AL22" s="118"/>
      <c r="AM22" s="121">
        <f t="shared" si="8"/>
        <v>5884.2525000000005</v>
      </c>
      <c r="AN22" s="118"/>
      <c r="AO22" s="118"/>
      <c r="AP22" s="202">
        <f t="shared" si="9"/>
        <v>5884.2525000000005</v>
      </c>
      <c r="AQ22" s="198">
        <f t="shared" si="10"/>
        <v>27459.845000000001</v>
      </c>
      <c r="AR22" s="198">
        <f t="shared" si="11"/>
        <v>21575.592499999999</v>
      </c>
      <c r="AS22" s="118">
        <f t="shared" si="12"/>
        <v>23537.010000000002</v>
      </c>
      <c r="AT22" s="198">
        <f t="shared" si="13"/>
        <v>117685.05000000002</v>
      </c>
      <c r="AU22" s="121">
        <f t="shared" si="14"/>
        <v>5884.2525000000005</v>
      </c>
    </row>
    <row r="23" spans="1:49" s="82" customFormat="1" ht="12.75" x14ac:dyDescent="0.2">
      <c r="A23" s="118">
        <v>6</v>
      </c>
      <c r="B23" s="119" t="s">
        <v>140</v>
      </c>
      <c r="C23" s="74" t="s">
        <v>60</v>
      </c>
      <c r="D23" s="119" t="s">
        <v>131</v>
      </c>
      <c r="E23" s="112" t="s">
        <v>80</v>
      </c>
      <c r="F23" s="112">
        <v>22</v>
      </c>
      <c r="G23" s="118">
        <v>5.32</v>
      </c>
      <c r="H23" s="118">
        <v>17697</v>
      </c>
      <c r="I23" s="197">
        <f t="shared" si="1"/>
        <v>94148.040000000008</v>
      </c>
      <c r="J23" s="203"/>
      <c r="K23" s="196"/>
      <c r="L23" s="118"/>
      <c r="M23" s="118">
        <v>2</v>
      </c>
      <c r="N23" s="118"/>
      <c r="O23" s="199"/>
      <c r="P23" s="200">
        <f t="shared" si="2"/>
        <v>10460.893333333333</v>
      </c>
      <c r="Q23" s="118">
        <f t="shared" si="3"/>
        <v>0</v>
      </c>
      <c r="R23" s="118">
        <f t="shared" si="4"/>
        <v>0</v>
      </c>
      <c r="S23" s="201">
        <f t="shared" si="5"/>
        <v>2615.2233333333334</v>
      </c>
      <c r="T23" s="202">
        <f t="shared" si="6"/>
        <v>1307.6116666666667</v>
      </c>
      <c r="U23" s="118"/>
      <c r="V23" s="118"/>
      <c r="W23" s="118"/>
      <c r="X23" s="118"/>
      <c r="Y23" s="118"/>
      <c r="Z23" s="118"/>
      <c r="AA23" s="118"/>
      <c r="AB23" s="118"/>
      <c r="AC23" s="118"/>
      <c r="AD23" s="118"/>
      <c r="AE23" s="118"/>
      <c r="AF23" s="51">
        <f t="shared" si="7"/>
        <v>5230.4466666666667</v>
      </c>
      <c r="AG23" s="118"/>
      <c r="AH23" s="118"/>
      <c r="AI23" s="118"/>
      <c r="AJ23" s="118"/>
      <c r="AK23" s="118"/>
      <c r="AL23" s="118"/>
      <c r="AM23" s="121">
        <f t="shared" si="8"/>
        <v>3922.8350000000005</v>
      </c>
      <c r="AN23" s="118"/>
      <c r="AO23" s="118"/>
      <c r="AP23" s="202">
        <f t="shared" si="9"/>
        <v>9153.2816666666677</v>
      </c>
      <c r="AQ23" s="198">
        <f t="shared" si="10"/>
        <v>23537.01</v>
      </c>
      <c r="AR23" s="198">
        <f t="shared" si="11"/>
        <v>14383.728333333331</v>
      </c>
      <c r="AS23" s="118">
        <f t="shared" si="12"/>
        <v>23537.010000000002</v>
      </c>
      <c r="AT23" s="198">
        <f t="shared" si="13"/>
        <v>117685.05000000002</v>
      </c>
      <c r="AU23" s="121">
        <f t="shared" si="14"/>
        <v>3922.8350000000005</v>
      </c>
    </row>
    <row r="24" spans="1:49" s="82" customFormat="1" ht="12.75" x14ac:dyDescent="0.2">
      <c r="A24" s="118">
        <v>7</v>
      </c>
      <c r="B24" s="74" t="s">
        <v>141</v>
      </c>
      <c r="C24" s="74" t="s">
        <v>60</v>
      </c>
      <c r="D24" s="74" t="s">
        <v>139</v>
      </c>
      <c r="E24" s="112" t="s">
        <v>81</v>
      </c>
      <c r="F24" s="112">
        <v>14</v>
      </c>
      <c r="G24" s="118">
        <v>4.95</v>
      </c>
      <c r="H24" s="118">
        <v>17697</v>
      </c>
      <c r="I24" s="197">
        <f t="shared" si="1"/>
        <v>87600.150000000009</v>
      </c>
      <c r="J24" s="203"/>
      <c r="K24" s="196"/>
      <c r="L24" s="118"/>
      <c r="M24" s="118">
        <v>3</v>
      </c>
      <c r="N24" s="118"/>
      <c r="O24" s="199"/>
      <c r="P24" s="200">
        <f t="shared" si="2"/>
        <v>14600.025000000001</v>
      </c>
      <c r="Q24" s="118">
        <f t="shared" si="3"/>
        <v>0</v>
      </c>
      <c r="R24" s="118">
        <f t="shared" si="4"/>
        <v>0</v>
      </c>
      <c r="S24" s="201">
        <f t="shared" si="5"/>
        <v>3650.0062500000004</v>
      </c>
      <c r="T24" s="202">
        <f t="shared" si="6"/>
        <v>1825.0031250000002</v>
      </c>
      <c r="U24" s="118"/>
      <c r="V24" s="118"/>
      <c r="W24" s="118"/>
      <c r="X24" s="118"/>
      <c r="Y24" s="118"/>
      <c r="Z24" s="118"/>
      <c r="AA24" s="118"/>
      <c r="AB24" s="118"/>
      <c r="AC24" s="118"/>
      <c r="AD24" s="118"/>
      <c r="AE24" s="118"/>
      <c r="AF24" s="51">
        <v>0</v>
      </c>
      <c r="AG24" s="51">
        <f>(Q24+R24+S24+T24)*35%</f>
        <v>1916.2532812500001</v>
      </c>
      <c r="AH24" s="51">
        <v>0</v>
      </c>
      <c r="AI24" s="118"/>
      <c r="AJ24" s="118"/>
      <c r="AK24" s="118"/>
      <c r="AL24" s="118"/>
      <c r="AM24" s="121">
        <f t="shared" si="8"/>
        <v>5475.0093750000005</v>
      </c>
      <c r="AN24" s="118"/>
      <c r="AO24" s="118"/>
      <c r="AP24" s="202">
        <f t="shared" si="9"/>
        <v>7391.2626562500009</v>
      </c>
      <c r="AQ24" s="198">
        <f t="shared" si="10"/>
        <v>27466.29703125</v>
      </c>
      <c r="AR24" s="198">
        <f t="shared" si="11"/>
        <v>20075.034374999999</v>
      </c>
      <c r="AS24" s="118">
        <f t="shared" si="12"/>
        <v>21900.037500000002</v>
      </c>
      <c r="AT24" s="198">
        <f t="shared" si="13"/>
        <v>109500.18750000001</v>
      </c>
      <c r="AU24" s="121">
        <f t="shared" si="14"/>
        <v>5475.0093750000005</v>
      </c>
    </row>
    <row r="25" spans="1:49" s="82" customFormat="1" ht="12.75" x14ac:dyDescent="0.2">
      <c r="A25" s="118">
        <v>8</v>
      </c>
      <c r="B25" s="74" t="s">
        <v>142</v>
      </c>
      <c r="C25" s="74" t="s">
        <v>60</v>
      </c>
      <c r="D25" s="74" t="s">
        <v>139</v>
      </c>
      <c r="E25" s="112" t="s">
        <v>80</v>
      </c>
      <c r="F25" s="112">
        <v>9</v>
      </c>
      <c r="G25" s="118">
        <v>5.01</v>
      </c>
      <c r="H25" s="118">
        <v>17697</v>
      </c>
      <c r="I25" s="197">
        <f t="shared" si="1"/>
        <v>88661.97</v>
      </c>
      <c r="J25" s="203"/>
      <c r="K25" s="196"/>
      <c r="L25" s="118"/>
      <c r="M25" s="118">
        <v>3</v>
      </c>
      <c r="N25" s="118"/>
      <c r="O25" s="199"/>
      <c r="P25" s="200">
        <f t="shared" si="2"/>
        <v>14776.994999999999</v>
      </c>
      <c r="Q25" s="118">
        <f t="shared" si="3"/>
        <v>0</v>
      </c>
      <c r="R25" s="118">
        <f t="shared" si="4"/>
        <v>0</v>
      </c>
      <c r="S25" s="201">
        <f t="shared" si="5"/>
        <v>3694.2487499999997</v>
      </c>
      <c r="T25" s="202">
        <f t="shared" si="6"/>
        <v>1847.1243749999999</v>
      </c>
      <c r="U25" s="118"/>
      <c r="V25" s="118"/>
      <c r="W25" s="118"/>
      <c r="X25" s="118"/>
      <c r="Y25" s="118"/>
      <c r="Z25" s="118"/>
      <c r="AA25" s="118"/>
      <c r="AB25" s="118"/>
      <c r="AC25" s="118"/>
      <c r="AD25" s="118"/>
      <c r="AE25" s="118"/>
      <c r="AF25" s="51">
        <f t="shared" si="7"/>
        <v>7388.4974999999995</v>
      </c>
      <c r="AG25" s="51">
        <v>0</v>
      </c>
      <c r="AH25" s="51">
        <v>0</v>
      </c>
      <c r="AI25" s="118"/>
      <c r="AJ25" s="118"/>
      <c r="AK25" s="118"/>
      <c r="AL25" s="118"/>
      <c r="AM25" s="121">
        <f t="shared" si="8"/>
        <v>5541.3731249999992</v>
      </c>
      <c r="AN25" s="118"/>
      <c r="AO25" s="118"/>
      <c r="AP25" s="202">
        <f t="shared" si="9"/>
        <v>12929.870625</v>
      </c>
      <c r="AQ25" s="198">
        <f t="shared" si="10"/>
        <v>33248.238749999997</v>
      </c>
      <c r="AR25" s="198">
        <f t="shared" si="11"/>
        <v>20318.368124999997</v>
      </c>
      <c r="AS25" s="118">
        <f t="shared" si="12"/>
        <v>22165.4925</v>
      </c>
      <c r="AT25" s="198">
        <f t="shared" si="13"/>
        <v>110827.46249999999</v>
      </c>
      <c r="AU25" s="121">
        <f t="shared" si="14"/>
        <v>5541.3731249999992</v>
      </c>
    </row>
    <row r="26" spans="1:49" s="82" customFormat="1" ht="12.75" x14ac:dyDescent="0.2">
      <c r="A26" s="118">
        <v>9</v>
      </c>
      <c r="B26" s="112" t="s">
        <v>144</v>
      </c>
      <c r="C26" s="112" t="s">
        <v>60</v>
      </c>
      <c r="D26" s="112" t="s">
        <v>109</v>
      </c>
      <c r="E26" s="112" t="s">
        <v>81</v>
      </c>
      <c r="F26" s="112">
        <v>17</v>
      </c>
      <c r="G26" s="118">
        <v>5.03</v>
      </c>
      <c r="H26" s="118">
        <v>17697</v>
      </c>
      <c r="I26" s="197">
        <f t="shared" si="1"/>
        <v>89015.91</v>
      </c>
      <c r="J26" s="203"/>
      <c r="K26" s="196"/>
      <c r="L26" s="118"/>
      <c r="M26" s="118">
        <v>16</v>
      </c>
      <c r="N26" s="118"/>
      <c r="O26" s="199"/>
      <c r="P26" s="200">
        <f t="shared" si="2"/>
        <v>79125.253333333341</v>
      </c>
      <c r="Q26" s="118">
        <f t="shared" si="3"/>
        <v>0</v>
      </c>
      <c r="R26" s="118">
        <f t="shared" si="4"/>
        <v>0</v>
      </c>
      <c r="S26" s="201">
        <f t="shared" si="5"/>
        <v>19781.313333333335</v>
      </c>
      <c r="T26" s="202">
        <f t="shared" si="6"/>
        <v>9890.6566666666695</v>
      </c>
      <c r="U26" s="118"/>
      <c r="V26" s="118"/>
      <c r="W26" s="118"/>
      <c r="X26" s="118"/>
      <c r="Y26" s="118"/>
      <c r="Z26" s="118"/>
      <c r="AA26" s="118"/>
      <c r="AB26" s="118"/>
      <c r="AC26" s="118"/>
      <c r="AD26" s="118"/>
      <c r="AE26" s="118"/>
      <c r="AF26" s="51">
        <v>0</v>
      </c>
      <c r="AG26" s="51">
        <f>(Q26+R26+S26+T26)*35%</f>
        <v>10385.1895</v>
      </c>
      <c r="AH26" s="51">
        <v>0</v>
      </c>
      <c r="AI26" s="118"/>
      <c r="AJ26" s="118"/>
      <c r="AK26" s="118"/>
      <c r="AL26" s="118"/>
      <c r="AM26" s="121">
        <f t="shared" si="8"/>
        <v>29671.97</v>
      </c>
      <c r="AN26" s="118"/>
      <c r="AO26" s="118"/>
      <c r="AP26" s="202">
        <f>AM26+AN26+AH26+AG26+AF26</f>
        <v>40057.159500000002</v>
      </c>
      <c r="AQ26" s="198">
        <f t="shared" si="10"/>
        <v>148854.38283333337</v>
      </c>
      <c r="AR26" s="198">
        <f t="shared" si="11"/>
        <v>108797.22333333336</v>
      </c>
      <c r="AS26" s="118">
        <f t="shared" si="12"/>
        <v>22253.977500000001</v>
      </c>
      <c r="AT26" s="198">
        <f t="shared" si="13"/>
        <v>111269.88750000001</v>
      </c>
      <c r="AU26" s="121">
        <f t="shared" si="14"/>
        <v>29671.97</v>
      </c>
    </row>
    <row r="27" spans="1:49" s="82" customFormat="1" ht="12.75" x14ac:dyDescent="0.2">
      <c r="A27" s="118">
        <v>10</v>
      </c>
      <c r="B27" s="112" t="s">
        <v>146</v>
      </c>
      <c r="C27" s="112" t="s">
        <v>60</v>
      </c>
      <c r="D27" s="112" t="s">
        <v>139</v>
      </c>
      <c r="E27" s="112" t="s">
        <v>80</v>
      </c>
      <c r="F27" s="112">
        <v>11.06</v>
      </c>
      <c r="G27" s="118">
        <v>5.08</v>
      </c>
      <c r="H27" s="118">
        <v>17697</v>
      </c>
      <c r="I27" s="197">
        <f t="shared" si="1"/>
        <v>89900.76</v>
      </c>
      <c r="J27" s="203"/>
      <c r="K27" s="196"/>
      <c r="L27" s="118"/>
      <c r="M27" s="118">
        <v>3</v>
      </c>
      <c r="N27" s="118"/>
      <c r="O27" s="199"/>
      <c r="P27" s="200">
        <f t="shared" si="2"/>
        <v>14983.46</v>
      </c>
      <c r="Q27" s="118">
        <f t="shared" si="3"/>
        <v>0</v>
      </c>
      <c r="R27" s="118">
        <f t="shared" si="4"/>
        <v>0</v>
      </c>
      <c r="S27" s="201">
        <f t="shared" si="5"/>
        <v>3745.8649999999998</v>
      </c>
      <c r="T27" s="202">
        <f t="shared" si="6"/>
        <v>1872.9324999999999</v>
      </c>
      <c r="U27" s="118"/>
      <c r="V27" s="118"/>
      <c r="W27" s="118"/>
      <c r="X27" s="118"/>
      <c r="Y27" s="118"/>
      <c r="Z27" s="118"/>
      <c r="AA27" s="118"/>
      <c r="AB27" s="118"/>
      <c r="AC27" s="118"/>
      <c r="AD27" s="118"/>
      <c r="AE27" s="118"/>
      <c r="AF27" s="51">
        <f t="shared" si="7"/>
        <v>7491.73</v>
      </c>
      <c r="AG27" s="51">
        <v>0</v>
      </c>
      <c r="AH27" s="51">
        <v>0</v>
      </c>
      <c r="AI27" s="118"/>
      <c r="AJ27" s="118"/>
      <c r="AK27" s="118"/>
      <c r="AL27" s="118"/>
      <c r="AM27" s="121">
        <f t="shared" si="8"/>
        <v>5618.7974999999997</v>
      </c>
      <c r="AN27" s="118"/>
      <c r="AO27" s="118"/>
      <c r="AP27" s="202">
        <f>AM27+AN27+AH27+AG27+AF27</f>
        <v>13110.5275</v>
      </c>
      <c r="AQ27" s="198">
        <f t="shared" si="10"/>
        <v>33712.784999999996</v>
      </c>
      <c r="AR27" s="198">
        <f t="shared" si="11"/>
        <v>20602.257499999996</v>
      </c>
      <c r="AS27" s="118">
        <f t="shared" si="12"/>
        <v>22475.19</v>
      </c>
      <c r="AT27" s="198">
        <f t="shared" si="13"/>
        <v>112375.95</v>
      </c>
      <c r="AU27" s="121">
        <f t="shared" si="14"/>
        <v>5618.7974999999997</v>
      </c>
    </row>
    <row r="28" spans="1:49" s="82" customFormat="1" ht="12.75" x14ac:dyDescent="0.2">
      <c r="A28" s="118">
        <v>11</v>
      </c>
      <c r="B28" s="112" t="s">
        <v>143</v>
      </c>
      <c r="C28" s="112" t="s">
        <v>60</v>
      </c>
      <c r="D28" s="112" t="s">
        <v>108</v>
      </c>
      <c r="E28" s="112" t="s">
        <v>82</v>
      </c>
      <c r="F28" s="112">
        <v>14.07</v>
      </c>
      <c r="G28" s="118">
        <v>4.9000000000000004</v>
      </c>
      <c r="H28" s="118">
        <v>17697</v>
      </c>
      <c r="I28" s="197">
        <f t="shared" si="1"/>
        <v>86715.3</v>
      </c>
      <c r="J28" s="203"/>
      <c r="K28" s="196"/>
      <c r="L28" s="118"/>
      <c r="M28" s="118">
        <v>3</v>
      </c>
      <c r="N28" s="118"/>
      <c r="O28" s="199"/>
      <c r="P28" s="200">
        <f t="shared" si="2"/>
        <v>14452.55</v>
      </c>
      <c r="Q28" s="118">
        <f t="shared" si="3"/>
        <v>0</v>
      </c>
      <c r="R28" s="118">
        <f t="shared" si="4"/>
        <v>0</v>
      </c>
      <c r="S28" s="201">
        <f t="shared" si="5"/>
        <v>3613.1374999999998</v>
      </c>
      <c r="T28" s="202">
        <f t="shared" si="6"/>
        <v>1806.5687500000001</v>
      </c>
      <c r="U28" s="118"/>
      <c r="V28" s="118"/>
      <c r="W28" s="118"/>
      <c r="X28" s="118"/>
      <c r="Y28" s="118"/>
      <c r="Z28" s="118"/>
      <c r="AA28" s="118"/>
      <c r="AB28" s="118"/>
      <c r="AC28" s="118"/>
      <c r="AD28" s="118"/>
      <c r="AE28" s="118"/>
      <c r="AF28" s="51">
        <v>0</v>
      </c>
      <c r="AG28" s="51">
        <v>0</v>
      </c>
      <c r="AH28" s="51">
        <v>0</v>
      </c>
      <c r="AI28" s="118"/>
      <c r="AJ28" s="118"/>
      <c r="AK28" s="118"/>
      <c r="AL28" s="118"/>
      <c r="AM28" s="121">
        <f t="shared" si="8"/>
        <v>5419.7062500000002</v>
      </c>
      <c r="AN28" s="118"/>
      <c r="AO28" s="118"/>
      <c r="AP28" s="202">
        <f t="shared" ref="AP28:AP41" si="15">AM28+AN28+AH28+AG28+AF28</f>
        <v>5419.7062500000002</v>
      </c>
      <c r="AQ28" s="198">
        <f t="shared" si="10"/>
        <v>25291.962499999998</v>
      </c>
      <c r="AR28" s="198">
        <f t="shared" si="11"/>
        <v>19872.256249999999</v>
      </c>
      <c r="AS28" s="118">
        <f t="shared" si="12"/>
        <v>21678.825000000001</v>
      </c>
      <c r="AT28" s="198">
        <f t="shared" si="13"/>
        <v>108394.125</v>
      </c>
      <c r="AU28" s="121">
        <f t="shared" si="14"/>
        <v>5419.7062500000002</v>
      </c>
    </row>
    <row r="29" spans="1:49" s="82" customFormat="1" ht="12.75" x14ac:dyDescent="0.2">
      <c r="A29" s="118">
        <v>12</v>
      </c>
      <c r="B29" s="112" t="s">
        <v>145</v>
      </c>
      <c r="C29" s="112" t="s">
        <v>60</v>
      </c>
      <c r="D29" s="112" t="s">
        <v>139</v>
      </c>
      <c r="E29" s="112" t="s">
        <v>91</v>
      </c>
      <c r="F29" s="112">
        <v>7.11</v>
      </c>
      <c r="G29" s="118">
        <v>4.74</v>
      </c>
      <c r="H29" s="118">
        <v>17697</v>
      </c>
      <c r="I29" s="197">
        <f t="shared" si="1"/>
        <v>83883.78</v>
      </c>
      <c r="J29" s="203"/>
      <c r="K29" s="196"/>
      <c r="L29" s="118"/>
      <c r="M29" s="118">
        <v>3</v>
      </c>
      <c r="N29" s="118"/>
      <c r="O29" s="199"/>
      <c r="P29" s="200">
        <f t="shared" si="2"/>
        <v>13980.630000000001</v>
      </c>
      <c r="Q29" s="118">
        <f t="shared" si="3"/>
        <v>0</v>
      </c>
      <c r="R29" s="118">
        <f t="shared" si="4"/>
        <v>0</v>
      </c>
      <c r="S29" s="201">
        <f t="shared" si="5"/>
        <v>3495.1575000000003</v>
      </c>
      <c r="T29" s="202">
        <f t="shared" si="6"/>
        <v>1747.5787500000004</v>
      </c>
      <c r="U29" s="118"/>
      <c r="V29" s="118"/>
      <c r="W29" s="118"/>
      <c r="X29" s="118"/>
      <c r="Y29" s="118"/>
      <c r="Z29" s="118"/>
      <c r="AA29" s="118"/>
      <c r="AB29" s="118"/>
      <c r="AC29" s="118"/>
      <c r="AD29" s="118"/>
      <c r="AE29" s="118"/>
      <c r="AF29" s="51">
        <v>0</v>
      </c>
      <c r="AG29" s="51">
        <v>0</v>
      </c>
      <c r="AH29" s="51">
        <f t="shared" ref="AH29:AH35" si="16">(R29+S29+T29+U29)*30%</f>
        <v>1572.8208750000001</v>
      </c>
      <c r="AI29" s="118"/>
      <c r="AJ29" s="118"/>
      <c r="AK29" s="118"/>
      <c r="AL29" s="118"/>
      <c r="AM29" s="121">
        <f t="shared" si="8"/>
        <v>5242.7362500000008</v>
      </c>
      <c r="AN29" s="118"/>
      <c r="AO29" s="118"/>
      <c r="AP29" s="202">
        <f t="shared" si="15"/>
        <v>6815.5571250000012</v>
      </c>
      <c r="AQ29" s="198">
        <f t="shared" si="10"/>
        <v>26038.923375000006</v>
      </c>
      <c r="AR29" s="198">
        <f t="shared" si="11"/>
        <v>19223.366250000006</v>
      </c>
      <c r="AS29" s="118">
        <f t="shared" si="12"/>
        <v>20970.945</v>
      </c>
      <c r="AT29" s="198">
        <f t="shared" si="13"/>
        <v>104854.72500000001</v>
      </c>
      <c r="AU29" s="121">
        <f t="shared" si="14"/>
        <v>5242.7362500000008</v>
      </c>
    </row>
    <row r="30" spans="1:49" s="82" customFormat="1" ht="12.75" x14ac:dyDescent="0.2">
      <c r="A30" s="118">
        <v>13</v>
      </c>
      <c r="B30" s="112" t="s">
        <v>147</v>
      </c>
      <c r="C30" s="112" t="s">
        <v>60</v>
      </c>
      <c r="D30" s="112" t="s">
        <v>108</v>
      </c>
      <c r="E30" s="112" t="s">
        <v>82</v>
      </c>
      <c r="F30" s="112">
        <v>2.11</v>
      </c>
      <c r="G30" s="118">
        <v>4.51</v>
      </c>
      <c r="H30" s="118">
        <v>17697</v>
      </c>
      <c r="I30" s="197">
        <f t="shared" si="1"/>
        <v>79813.47</v>
      </c>
      <c r="J30" s="203"/>
      <c r="K30" s="196"/>
      <c r="L30" s="118"/>
      <c r="M30" s="118">
        <v>7</v>
      </c>
      <c r="N30" s="118"/>
      <c r="O30" s="199"/>
      <c r="P30" s="200">
        <f t="shared" si="2"/>
        <v>31038.57166666667</v>
      </c>
      <c r="Q30" s="118">
        <f t="shared" si="3"/>
        <v>0</v>
      </c>
      <c r="R30" s="118">
        <f t="shared" si="4"/>
        <v>0</v>
      </c>
      <c r="S30" s="201">
        <f t="shared" si="5"/>
        <v>7759.6429166666676</v>
      </c>
      <c r="T30" s="202">
        <f t="shared" si="6"/>
        <v>3879.8214583333338</v>
      </c>
      <c r="U30" s="118"/>
      <c r="V30" s="118"/>
      <c r="W30" s="118"/>
      <c r="X30" s="118"/>
      <c r="Y30" s="118"/>
      <c r="Z30" s="118"/>
      <c r="AA30" s="118"/>
      <c r="AB30" s="118"/>
      <c r="AC30" s="118"/>
      <c r="AD30" s="118"/>
      <c r="AE30" s="118"/>
      <c r="AF30" s="51">
        <v>0</v>
      </c>
      <c r="AG30" s="51">
        <v>0</v>
      </c>
      <c r="AH30" s="51">
        <f t="shared" si="16"/>
        <v>3491.8393125000002</v>
      </c>
      <c r="AI30" s="118"/>
      <c r="AJ30" s="118"/>
      <c r="AK30" s="118"/>
      <c r="AL30" s="118"/>
      <c r="AM30" s="121">
        <f t="shared" si="8"/>
        <v>11639.464375</v>
      </c>
      <c r="AN30" s="118"/>
      <c r="AO30" s="118"/>
      <c r="AP30" s="202">
        <f t="shared" si="15"/>
        <v>15131.3036875</v>
      </c>
      <c r="AQ30" s="198">
        <f t="shared" si="10"/>
        <v>57809.339729166662</v>
      </c>
      <c r="AR30" s="198">
        <f t="shared" si="11"/>
        <v>42678.036041666666</v>
      </c>
      <c r="AS30" s="118">
        <f t="shared" si="12"/>
        <v>19953.3675</v>
      </c>
      <c r="AT30" s="198">
        <f t="shared" si="13"/>
        <v>99766.837499999994</v>
      </c>
      <c r="AU30" s="121">
        <f t="shared" si="14"/>
        <v>11639.464375</v>
      </c>
    </row>
    <row r="31" spans="1:49" s="82" customFormat="1" ht="12.75" x14ac:dyDescent="0.2">
      <c r="A31" s="118">
        <v>14</v>
      </c>
      <c r="B31" s="112" t="s">
        <v>148</v>
      </c>
      <c r="C31" s="112" t="s">
        <v>60</v>
      </c>
      <c r="D31" s="112" t="s">
        <v>109</v>
      </c>
      <c r="E31" s="112" t="s">
        <v>82</v>
      </c>
      <c r="F31" s="112">
        <v>9.07</v>
      </c>
      <c r="G31" s="118">
        <v>4.74</v>
      </c>
      <c r="H31" s="118">
        <v>17697</v>
      </c>
      <c r="I31" s="197">
        <f t="shared" si="1"/>
        <v>83883.78</v>
      </c>
      <c r="J31" s="203"/>
      <c r="K31" s="196"/>
      <c r="L31" s="118"/>
      <c r="M31" s="118">
        <v>17</v>
      </c>
      <c r="N31" s="118"/>
      <c r="O31" s="199"/>
      <c r="P31" s="200">
        <f t="shared" si="2"/>
        <v>79223.570000000007</v>
      </c>
      <c r="Q31" s="118">
        <f t="shared" si="3"/>
        <v>0</v>
      </c>
      <c r="R31" s="118">
        <f t="shared" si="4"/>
        <v>0</v>
      </c>
      <c r="S31" s="201">
        <f t="shared" si="5"/>
        <v>19805.892500000002</v>
      </c>
      <c r="T31" s="202">
        <f t="shared" si="6"/>
        <v>9902.9462500000009</v>
      </c>
      <c r="U31" s="118"/>
      <c r="V31" s="118"/>
      <c r="W31" s="118"/>
      <c r="X31" s="118"/>
      <c r="Y31" s="118"/>
      <c r="Z31" s="118"/>
      <c r="AA31" s="118"/>
      <c r="AB31" s="118"/>
      <c r="AC31" s="118"/>
      <c r="AD31" s="118"/>
      <c r="AE31" s="118"/>
      <c r="AF31" s="51">
        <v>0</v>
      </c>
      <c r="AG31" s="51">
        <v>0</v>
      </c>
      <c r="AH31" s="51">
        <f t="shared" si="16"/>
        <v>8912.6516250000004</v>
      </c>
      <c r="AI31" s="118"/>
      <c r="AJ31" s="118"/>
      <c r="AK31" s="118"/>
      <c r="AL31" s="118"/>
      <c r="AM31" s="121">
        <f t="shared" si="8"/>
        <v>29708.838750000003</v>
      </c>
      <c r="AN31" s="118"/>
      <c r="AO31" s="118"/>
      <c r="AP31" s="202">
        <f t="shared" si="15"/>
        <v>38621.490375000001</v>
      </c>
      <c r="AQ31" s="198">
        <f t="shared" si="10"/>
        <v>147553.899125</v>
      </c>
      <c r="AR31" s="198">
        <f t="shared" si="11"/>
        <v>108932.40875</v>
      </c>
      <c r="AS31" s="118">
        <f t="shared" si="12"/>
        <v>20970.945</v>
      </c>
      <c r="AT31" s="198">
        <f t="shared" si="13"/>
        <v>104854.72500000001</v>
      </c>
      <c r="AU31" s="121">
        <f t="shared" si="14"/>
        <v>29708.838750000003</v>
      </c>
    </row>
    <row r="32" spans="1:49" s="82" customFormat="1" ht="12.75" x14ac:dyDescent="0.2">
      <c r="A32" s="118">
        <v>15</v>
      </c>
      <c r="B32" s="112" t="s">
        <v>149</v>
      </c>
      <c r="C32" s="112" t="s">
        <v>63</v>
      </c>
      <c r="D32" s="112" t="s">
        <v>109</v>
      </c>
      <c r="E32" s="112" t="s">
        <v>83</v>
      </c>
      <c r="F32" s="112">
        <v>14.07</v>
      </c>
      <c r="G32" s="118">
        <v>4.17</v>
      </c>
      <c r="H32" s="118">
        <v>17697</v>
      </c>
      <c r="I32" s="197">
        <f t="shared" si="1"/>
        <v>73796.490000000005</v>
      </c>
      <c r="J32" s="203"/>
      <c r="K32" s="196"/>
      <c r="L32" s="118"/>
      <c r="M32" s="118">
        <v>16</v>
      </c>
      <c r="N32" s="118"/>
      <c r="O32" s="199"/>
      <c r="P32" s="200">
        <f t="shared" si="2"/>
        <v>65596.88</v>
      </c>
      <c r="Q32" s="118">
        <f t="shared" si="3"/>
        <v>0</v>
      </c>
      <c r="R32" s="118">
        <f t="shared" si="4"/>
        <v>0</v>
      </c>
      <c r="S32" s="201">
        <f t="shared" si="5"/>
        <v>16399.22</v>
      </c>
      <c r="T32" s="202">
        <f t="shared" si="6"/>
        <v>8199.61</v>
      </c>
      <c r="U32" s="118"/>
      <c r="V32" s="118"/>
      <c r="W32" s="118"/>
      <c r="X32" s="118"/>
      <c r="Y32" s="118"/>
      <c r="Z32" s="118"/>
      <c r="AA32" s="118"/>
      <c r="AB32" s="118"/>
      <c r="AC32" s="118"/>
      <c r="AD32" s="118"/>
      <c r="AE32" s="118"/>
      <c r="AF32" s="51">
        <v>0</v>
      </c>
      <c r="AG32" s="51">
        <v>0</v>
      </c>
      <c r="AH32" s="51">
        <f t="shared" si="16"/>
        <v>7379.6490000000003</v>
      </c>
      <c r="AI32" s="118"/>
      <c r="AJ32" s="118"/>
      <c r="AK32" s="118"/>
      <c r="AL32" s="118"/>
      <c r="AM32" s="121">
        <f t="shared" si="8"/>
        <v>24598.83</v>
      </c>
      <c r="AN32" s="118"/>
      <c r="AO32" s="118"/>
      <c r="AP32" s="202">
        <f t="shared" si="15"/>
        <v>31978.479000000003</v>
      </c>
      <c r="AQ32" s="198">
        <f t="shared" si="10"/>
        <v>122174.18900000001</v>
      </c>
      <c r="AR32" s="198">
        <f t="shared" si="11"/>
        <v>90195.71</v>
      </c>
      <c r="AS32" s="118">
        <f t="shared" si="12"/>
        <v>18449.122500000001</v>
      </c>
      <c r="AT32" s="198">
        <f t="shared" si="13"/>
        <v>92245.612500000003</v>
      </c>
      <c r="AU32" s="121">
        <f t="shared" si="14"/>
        <v>24598.83</v>
      </c>
    </row>
    <row r="33" spans="1:47" s="82" customFormat="1" ht="12.75" x14ac:dyDescent="0.2">
      <c r="A33" s="118">
        <v>16</v>
      </c>
      <c r="B33" s="112" t="s">
        <v>150</v>
      </c>
      <c r="C33" s="112" t="s">
        <v>63</v>
      </c>
      <c r="D33" s="112" t="s">
        <v>132</v>
      </c>
      <c r="E33" s="112" t="s">
        <v>84</v>
      </c>
      <c r="F33" s="112">
        <v>10</v>
      </c>
      <c r="G33" s="118">
        <v>3.57</v>
      </c>
      <c r="H33" s="118">
        <v>17697</v>
      </c>
      <c r="I33" s="197">
        <f t="shared" si="1"/>
        <v>63178.289999999994</v>
      </c>
      <c r="J33" s="203"/>
      <c r="K33" s="196"/>
      <c r="L33" s="118"/>
      <c r="M33" s="118">
        <v>2</v>
      </c>
      <c r="N33" s="118"/>
      <c r="O33" s="199"/>
      <c r="P33" s="200">
        <f t="shared" si="2"/>
        <v>7019.8099999999995</v>
      </c>
      <c r="Q33" s="118">
        <f t="shared" si="3"/>
        <v>0</v>
      </c>
      <c r="R33" s="118">
        <f t="shared" si="4"/>
        <v>0</v>
      </c>
      <c r="S33" s="201">
        <f t="shared" si="5"/>
        <v>1754.9524999999999</v>
      </c>
      <c r="T33" s="202">
        <f t="shared" si="6"/>
        <v>877.47624999999994</v>
      </c>
      <c r="U33" s="118"/>
      <c r="V33" s="118"/>
      <c r="W33" s="118"/>
      <c r="X33" s="118"/>
      <c r="Y33" s="118"/>
      <c r="Z33" s="118"/>
      <c r="AA33" s="118"/>
      <c r="AB33" s="118"/>
      <c r="AC33" s="118"/>
      <c r="AD33" s="118"/>
      <c r="AE33" s="118"/>
      <c r="AF33" s="51">
        <v>0</v>
      </c>
      <c r="AG33" s="51">
        <v>0</v>
      </c>
      <c r="AH33" s="51">
        <v>0</v>
      </c>
      <c r="AI33" s="118"/>
      <c r="AJ33" s="118"/>
      <c r="AK33" s="118"/>
      <c r="AL33" s="118"/>
      <c r="AM33" s="121">
        <f t="shared" si="8"/>
        <v>2632.4287499999996</v>
      </c>
      <c r="AN33" s="118"/>
      <c r="AO33" s="118"/>
      <c r="AP33" s="202">
        <f t="shared" si="15"/>
        <v>2632.4287499999996</v>
      </c>
      <c r="AQ33" s="198">
        <f t="shared" si="10"/>
        <v>12284.667499999998</v>
      </c>
      <c r="AR33" s="198">
        <f t="shared" si="11"/>
        <v>9652.2387499999986</v>
      </c>
      <c r="AS33" s="118">
        <f t="shared" si="12"/>
        <v>15794.572499999998</v>
      </c>
      <c r="AT33" s="198">
        <f t="shared" si="13"/>
        <v>78972.862499999988</v>
      </c>
      <c r="AU33" s="121">
        <f t="shared" si="14"/>
        <v>2632.4287499999996</v>
      </c>
    </row>
    <row r="34" spans="1:47" s="82" customFormat="1" ht="12.75" x14ac:dyDescent="0.2">
      <c r="A34" s="118">
        <v>17</v>
      </c>
      <c r="B34" s="112" t="s">
        <v>151</v>
      </c>
      <c r="C34" s="112" t="s">
        <v>63</v>
      </c>
      <c r="D34" s="112" t="s">
        <v>139</v>
      </c>
      <c r="E34" s="112" t="s">
        <v>93</v>
      </c>
      <c r="F34" s="112">
        <v>5</v>
      </c>
      <c r="G34" s="118">
        <v>3.91</v>
      </c>
      <c r="H34" s="118">
        <v>17697</v>
      </c>
      <c r="I34" s="197">
        <f t="shared" si="1"/>
        <v>69195.27</v>
      </c>
      <c r="J34" s="203"/>
      <c r="K34" s="196"/>
      <c r="L34" s="118"/>
      <c r="M34" s="118">
        <v>3</v>
      </c>
      <c r="N34" s="118"/>
      <c r="O34" s="199"/>
      <c r="P34" s="200">
        <f t="shared" si="2"/>
        <v>11532.545</v>
      </c>
      <c r="Q34" s="118">
        <f t="shared" si="3"/>
        <v>0</v>
      </c>
      <c r="R34" s="118">
        <f t="shared" si="4"/>
        <v>0</v>
      </c>
      <c r="S34" s="201">
        <f t="shared" si="5"/>
        <v>2883.13625</v>
      </c>
      <c r="T34" s="202">
        <f t="shared" si="6"/>
        <v>1441.568125</v>
      </c>
      <c r="U34" s="118"/>
      <c r="V34" s="118"/>
      <c r="W34" s="118"/>
      <c r="X34" s="118"/>
      <c r="Y34" s="118"/>
      <c r="Z34" s="118"/>
      <c r="AA34" s="118"/>
      <c r="AB34" s="118"/>
      <c r="AC34" s="118"/>
      <c r="AD34" s="118"/>
      <c r="AE34" s="118"/>
      <c r="AF34" s="51">
        <v>0</v>
      </c>
      <c r="AG34" s="51">
        <v>0</v>
      </c>
      <c r="AH34" s="51">
        <f t="shared" si="16"/>
        <v>1297.4113125000001</v>
      </c>
      <c r="AI34" s="118"/>
      <c r="AJ34" s="118"/>
      <c r="AK34" s="118"/>
      <c r="AL34" s="118"/>
      <c r="AM34" s="121">
        <f t="shared" si="8"/>
        <v>4324.7043750000003</v>
      </c>
      <c r="AN34" s="118"/>
      <c r="AO34" s="118"/>
      <c r="AP34" s="202">
        <f t="shared" si="15"/>
        <v>5622.1156875000006</v>
      </c>
      <c r="AQ34" s="198">
        <f t="shared" si="10"/>
        <v>21479.365062500001</v>
      </c>
      <c r="AR34" s="198">
        <f t="shared" si="11"/>
        <v>15857.249374999999</v>
      </c>
      <c r="AS34" s="118">
        <f t="shared" si="12"/>
        <v>17298.817500000001</v>
      </c>
      <c r="AT34" s="198">
        <f t="shared" si="13"/>
        <v>86494.087500000009</v>
      </c>
      <c r="AU34" s="121">
        <f t="shared" si="14"/>
        <v>4324.7043750000003</v>
      </c>
    </row>
    <row r="35" spans="1:47" s="82" customFormat="1" ht="12.75" x14ac:dyDescent="0.2">
      <c r="A35" s="118">
        <v>18</v>
      </c>
      <c r="B35" s="112" t="s">
        <v>152</v>
      </c>
      <c r="C35" s="112" t="s">
        <v>63</v>
      </c>
      <c r="D35" s="112" t="s">
        <v>153</v>
      </c>
      <c r="E35" s="112" t="s">
        <v>93</v>
      </c>
      <c r="F35" s="112">
        <v>30.05</v>
      </c>
      <c r="G35" s="112">
        <v>4.29</v>
      </c>
      <c r="H35" s="118">
        <v>17697</v>
      </c>
      <c r="I35" s="197">
        <f t="shared" si="1"/>
        <v>75920.13</v>
      </c>
      <c r="J35" s="203"/>
      <c r="K35" s="196"/>
      <c r="L35" s="118"/>
      <c r="M35" s="118">
        <v>16</v>
      </c>
      <c r="N35" s="118"/>
      <c r="O35" s="199"/>
      <c r="P35" s="200">
        <f t="shared" si="2"/>
        <v>67484.56</v>
      </c>
      <c r="Q35" s="118">
        <f t="shared" si="3"/>
        <v>0</v>
      </c>
      <c r="R35" s="118">
        <f t="shared" si="4"/>
        <v>0</v>
      </c>
      <c r="S35" s="201">
        <f t="shared" si="5"/>
        <v>16871.14</v>
      </c>
      <c r="T35" s="202">
        <f t="shared" si="6"/>
        <v>8435.57</v>
      </c>
      <c r="U35" s="118"/>
      <c r="V35" s="118"/>
      <c r="W35" s="118"/>
      <c r="X35" s="118"/>
      <c r="Y35" s="118"/>
      <c r="Z35" s="118"/>
      <c r="AA35" s="118"/>
      <c r="AB35" s="118"/>
      <c r="AC35" s="118"/>
      <c r="AD35" s="118"/>
      <c r="AE35" s="118"/>
      <c r="AF35" s="51">
        <v>0</v>
      </c>
      <c r="AG35" s="51">
        <v>0</v>
      </c>
      <c r="AH35" s="51">
        <f t="shared" si="16"/>
        <v>7592.012999999999</v>
      </c>
      <c r="AI35" s="118"/>
      <c r="AJ35" s="118"/>
      <c r="AK35" s="118"/>
      <c r="AL35" s="118"/>
      <c r="AM35" s="121">
        <f t="shared" si="8"/>
        <v>25306.710000000003</v>
      </c>
      <c r="AN35" s="118"/>
      <c r="AO35" s="118"/>
      <c r="AP35" s="202">
        <f t="shared" si="15"/>
        <v>32898.722999999998</v>
      </c>
      <c r="AQ35" s="198">
        <f t="shared" si="10"/>
        <v>125689.993</v>
      </c>
      <c r="AR35" s="198">
        <f t="shared" si="11"/>
        <v>92791.27</v>
      </c>
      <c r="AS35" s="118">
        <f t="shared" si="12"/>
        <v>18980.032500000001</v>
      </c>
      <c r="AT35" s="198">
        <f t="shared" si="13"/>
        <v>94900.162500000006</v>
      </c>
      <c r="AU35" s="121">
        <f t="shared" si="14"/>
        <v>25306.710000000003</v>
      </c>
    </row>
    <row r="36" spans="1:47" s="82" customFormat="1" ht="12.75" x14ac:dyDescent="0.2">
      <c r="A36" s="118">
        <v>19</v>
      </c>
      <c r="B36" s="112" t="s">
        <v>179</v>
      </c>
      <c r="C36" s="112" t="s">
        <v>60</v>
      </c>
      <c r="D36" s="112" t="s">
        <v>180</v>
      </c>
      <c r="E36" s="112" t="s">
        <v>82</v>
      </c>
      <c r="F36" s="112">
        <v>3.07</v>
      </c>
      <c r="G36" s="112">
        <v>4.59</v>
      </c>
      <c r="H36" s="118">
        <v>17697</v>
      </c>
      <c r="I36" s="197">
        <f t="shared" si="1"/>
        <v>81229.23</v>
      </c>
      <c r="J36" s="203"/>
      <c r="K36" s="196"/>
      <c r="L36" s="118"/>
      <c r="M36" s="118">
        <v>4</v>
      </c>
      <c r="N36" s="118"/>
      <c r="O36" s="199"/>
      <c r="P36" s="200">
        <f t="shared" si="2"/>
        <v>18050.939999999999</v>
      </c>
      <c r="Q36" s="118">
        <f t="shared" si="3"/>
        <v>0</v>
      </c>
      <c r="R36" s="118">
        <f t="shared" si="4"/>
        <v>0</v>
      </c>
      <c r="S36" s="201">
        <f t="shared" si="5"/>
        <v>4512.7349999999997</v>
      </c>
      <c r="T36" s="202">
        <f t="shared" si="6"/>
        <v>2256.3674999999998</v>
      </c>
      <c r="U36" s="118"/>
      <c r="V36" s="118"/>
      <c r="W36" s="118"/>
      <c r="X36" s="118"/>
      <c r="Y36" s="118"/>
      <c r="Z36" s="118"/>
      <c r="AA36" s="118"/>
      <c r="AB36" s="118"/>
      <c r="AC36" s="118"/>
      <c r="AD36" s="118"/>
      <c r="AE36" s="118"/>
      <c r="AF36" s="51">
        <v>0</v>
      </c>
      <c r="AG36" s="51">
        <v>0</v>
      </c>
      <c r="AH36" s="51">
        <v>0</v>
      </c>
      <c r="AI36" s="118"/>
      <c r="AJ36" s="118"/>
      <c r="AK36" s="118"/>
      <c r="AL36" s="118"/>
      <c r="AM36" s="121">
        <f t="shared" si="8"/>
        <v>6769.1025</v>
      </c>
      <c r="AN36" s="118"/>
      <c r="AO36" s="118"/>
      <c r="AP36" s="202">
        <f t="shared" si="15"/>
        <v>6769.1025</v>
      </c>
      <c r="AQ36" s="198">
        <f t="shared" si="10"/>
        <v>31589.145</v>
      </c>
      <c r="AR36" s="198">
        <f t="shared" si="11"/>
        <v>24820.0425</v>
      </c>
      <c r="AS36" s="118">
        <f t="shared" si="12"/>
        <v>20307.307499999999</v>
      </c>
      <c r="AT36" s="198">
        <f t="shared" si="13"/>
        <v>101536.53749999999</v>
      </c>
      <c r="AU36" s="121">
        <f t="shared" si="14"/>
        <v>6769.1025</v>
      </c>
    </row>
    <row r="37" spans="1:47" s="82" customFormat="1" ht="12.75" x14ac:dyDescent="0.2">
      <c r="A37" s="118">
        <v>20</v>
      </c>
      <c r="B37" s="112" t="s">
        <v>200</v>
      </c>
      <c r="C37" s="112" t="s">
        <v>63</v>
      </c>
      <c r="D37" s="112" t="s">
        <v>181</v>
      </c>
      <c r="E37" s="112" t="s">
        <v>84</v>
      </c>
      <c r="F37" s="112" t="s">
        <v>182</v>
      </c>
      <c r="G37" s="112">
        <v>3.32</v>
      </c>
      <c r="H37" s="118">
        <v>17697</v>
      </c>
      <c r="I37" s="197">
        <f t="shared" si="1"/>
        <v>58754.039999999994</v>
      </c>
      <c r="J37" s="203"/>
      <c r="K37" s="196"/>
      <c r="L37" s="118"/>
      <c r="M37" s="118">
        <v>5</v>
      </c>
      <c r="N37" s="118"/>
      <c r="O37" s="199"/>
      <c r="P37" s="200">
        <f t="shared" si="2"/>
        <v>16320.566666666664</v>
      </c>
      <c r="Q37" s="118">
        <f t="shared" si="3"/>
        <v>0</v>
      </c>
      <c r="R37" s="118">
        <f t="shared" si="4"/>
        <v>0</v>
      </c>
      <c r="S37" s="201">
        <f t="shared" si="5"/>
        <v>4080.141666666666</v>
      </c>
      <c r="T37" s="202">
        <f t="shared" si="6"/>
        <v>2040.070833333333</v>
      </c>
      <c r="U37" s="118"/>
      <c r="V37" s="118"/>
      <c r="W37" s="118"/>
      <c r="X37" s="118"/>
      <c r="Y37" s="118"/>
      <c r="Z37" s="118"/>
      <c r="AA37" s="118"/>
      <c r="AB37" s="118"/>
      <c r="AC37" s="118"/>
      <c r="AD37" s="118"/>
      <c r="AE37" s="118"/>
      <c r="AF37" s="51">
        <v>0</v>
      </c>
      <c r="AG37" s="51">
        <v>0</v>
      </c>
      <c r="AH37" s="51">
        <v>0</v>
      </c>
      <c r="AI37" s="118"/>
      <c r="AJ37" s="118"/>
      <c r="AK37" s="118"/>
      <c r="AL37" s="118"/>
      <c r="AM37" s="121">
        <f t="shared" si="8"/>
        <v>6120.2124999999987</v>
      </c>
      <c r="AN37" s="118"/>
      <c r="AO37" s="118"/>
      <c r="AP37" s="202">
        <f t="shared" si="15"/>
        <v>6120.2124999999987</v>
      </c>
      <c r="AQ37" s="198">
        <f t="shared" si="10"/>
        <v>28560.991666666658</v>
      </c>
      <c r="AR37" s="198">
        <f t="shared" si="11"/>
        <v>22440.77916666666</v>
      </c>
      <c r="AS37" s="118">
        <f t="shared" si="12"/>
        <v>14688.509999999998</v>
      </c>
      <c r="AT37" s="198">
        <f t="shared" si="13"/>
        <v>73442.549999999988</v>
      </c>
      <c r="AU37" s="121">
        <f t="shared" si="14"/>
        <v>6120.2124999999987</v>
      </c>
    </row>
    <row r="38" spans="1:47" s="82" customFormat="1" ht="12.75" x14ac:dyDescent="0.2">
      <c r="A38" s="118">
        <v>21</v>
      </c>
      <c r="B38" s="124" t="s">
        <v>183</v>
      </c>
      <c r="C38" s="124" t="s">
        <v>60</v>
      </c>
      <c r="D38" s="124" t="s">
        <v>99</v>
      </c>
      <c r="E38" s="124" t="s">
        <v>91</v>
      </c>
      <c r="F38" s="124" t="s">
        <v>184</v>
      </c>
      <c r="G38" s="124">
        <v>4.0999999999999996</v>
      </c>
      <c r="H38" s="122">
        <v>17697</v>
      </c>
      <c r="I38" s="198">
        <f t="shared" ref="I38:I43" si="17">G38*H38</f>
        <v>72557.7</v>
      </c>
      <c r="J38" s="198"/>
      <c r="K38" s="118"/>
      <c r="L38" s="118"/>
      <c r="M38" s="118">
        <v>4</v>
      </c>
      <c r="N38" s="122"/>
      <c r="O38" s="204"/>
      <c r="P38" s="200">
        <f t="shared" si="2"/>
        <v>16123.933333333332</v>
      </c>
      <c r="Q38" s="118">
        <f t="shared" si="3"/>
        <v>0</v>
      </c>
      <c r="R38" s="118">
        <f t="shared" si="4"/>
        <v>0</v>
      </c>
      <c r="S38" s="201">
        <f t="shared" si="5"/>
        <v>4030.9833333333331</v>
      </c>
      <c r="T38" s="202">
        <f t="shared" si="6"/>
        <v>2015.4916666666666</v>
      </c>
      <c r="U38" s="118"/>
      <c r="V38" s="118"/>
      <c r="W38" s="118"/>
      <c r="X38" s="118"/>
      <c r="Y38" s="118"/>
      <c r="Z38" s="118"/>
      <c r="AA38" s="118"/>
      <c r="AB38" s="118"/>
      <c r="AC38" s="118"/>
      <c r="AD38" s="118"/>
      <c r="AE38" s="118"/>
      <c r="AF38" s="51">
        <v>0</v>
      </c>
      <c r="AG38" s="51">
        <v>0</v>
      </c>
      <c r="AH38" s="51">
        <v>0</v>
      </c>
      <c r="AI38" s="118"/>
      <c r="AJ38" s="118"/>
      <c r="AK38" s="118"/>
      <c r="AL38" s="118"/>
      <c r="AM38" s="121">
        <f t="shared" si="8"/>
        <v>6046.4750000000004</v>
      </c>
      <c r="AN38" s="118"/>
      <c r="AO38" s="118"/>
      <c r="AP38" s="202">
        <f t="shared" si="15"/>
        <v>6046.4750000000004</v>
      </c>
      <c r="AQ38" s="198">
        <f t="shared" si="10"/>
        <v>28216.883333333331</v>
      </c>
      <c r="AR38" s="198">
        <f t="shared" si="11"/>
        <v>22170.408333333333</v>
      </c>
      <c r="AS38" s="118">
        <f t="shared" si="12"/>
        <v>18139.424999999999</v>
      </c>
      <c r="AT38" s="198">
        <f t="shared" si="13"/>
        <v>90697.125</v>
      </c>
      <c r="AU38" s="121">
        <f t="shared" si="14"/>
        <v>6046.4750000000004</v>
      </c>
    </row>
    <row r="39" spans="1:47" s="82" customFormat="1" ht="12.75" x14ac:dyDescent="0.2">
      <c r="A39" s="118">
        <v>22</v>
      </c>
      <c r="B39" s="74" t="s">
        <v>201</v>
      </c>
      <c r="C39" s="74" t="s">
        <v>60</v>
      </c>
      <c r="D39" s="74" t="s">
        <v>102</v>
      </c>
      <c r="E39" s="112" t="s">
        <v>91</v>
      </c>
      <c r="F39" s="112" t="s">
        <v>94</v>
      </c>
      <c r="G39" s="118">
        <v>4.01</v>
      </c>
      <c r="H39" s="118">
        <v>17697</v>
      </c>
      <c r="I39" s="198">
        <f t="shared" si="17"/>
        <v>70964.97</v>
      </c>
      <c r="J39" s="198"/>
      <c r="K39" s="118"/>
      <c r="L39" s="124"/>
      <c r="M39" s="118">
        <v>2</v>
      </c>
      <c r="N39" s="118"/>
      <c r="O39" s="118"/>
      <c r="P39" s="200">
        <f>I39/18*M39</f>
        <v>7884.9966666666669</v>
      </c>
      <c r="Q39" s="118">
        <f>I39/18*N39</f>
        <v>0</v>
      </c>
      <c r="R39" s="118">
        <f>I39/18*O39</f>
        <v>0</v>
      </c>
      <c r="S39" s="201">
        <f>(L39+P39+Q39+R39)*25%</f>
        <v>1971.2491666666667</v>
      </c>
      <c r="T39" s="202">
        <f>(P39+Q39+R39+L39+S39)*10%</f>
        <v>985.62458333333348</v>
      </c>
      <c r="U39" s="118"/>
      <c r="V39" s="118"/>
      <c r="W39" s="118"/>
      <c r="X39" s="118"/>
      <c r="Y39" s="118"/>
      <c r="Z39" s="118"/>
      <c r="AA39" s="118"/>
      <c r="AB39" s="118"/>
      <c r="AC39" s="118"/>
      <c r="AD39" s="118"/>
      <c r="AE39" s="118"/>
      <c r="AF39" s="51">
        <v>0</v>
      </c>
      <c r="AG39" s="51">
        <v>0</v>
      </c>
      <c r="AH39" s="51">
        <v>0</v>
      </c>
      <c r="AI39" s="118"/>
      <c r="AJ39" s="118"/>
      <c r="AK39" s="118"/>
      <c r="AL39" s="118"/>
      <c r="AM39" s="121">
        <f>AU39</f>
        <v>2956.8737499999997</v>
      </c>
      <c r="AN39" s="118"/>
      <c r="AO39" s="118"/>
      <c r="AP39" s="202">
        <f t="shared" si="15"/>
        <v>2956.8737499999997</v>
      </c>
      <c r="AQ39" s="198">
        <f>P39+Q39+R39+S39+T39+X39+Y39+Z39+AA39+AB39+AC39+AD39+AE39+AF39+AG39+AH39+AI39+AJ39+AK39+AM39+AN39+AO39+L39</f>
        <v>13798.744166666667</v>
      </c>
      <c r="AR39" s="198">
        <f>AQ39-AP39</f>
        <v>10841.870416666668</v>
      </c>
      <c r="AS39" s="118">
        <f>I39*25%</f>
        <v>17741.2425</v>
      </c>
      <c r="AT39" s="198">
        <f>AS39+I39</f>
        <v>88706.212499999994</v>
      </c>
      <c r="AU39" s="121">
        <f>AT39/18*(M39+N39+O39)*30%</f>
        <v>2956.8737499999997</v>
      </c>
    </row>
    <row r="40" spans="1:47" s="82" customFormat="1" ht="12.75" x14ac:dyDescent="0.2">
      <c r="A40" s="118">
        <v>23</v>
      </c>
      <c r="B40" s="124" t="s">
        <v>202</v>
      </c>
      <c r="C40" s="124" t="s">
        <v>60</v>
      </c>
      <c r="D40" s="124" t="s">
        <v>96</v>
      </c>
      <c r="E40" s="124" t="s">
        <v>91</v>
      </c>
      <c r="F40" s="124">
        <v>4</v>
      </c>
      <c r="G40" s="124">
        <v>4.2300000000000004</v>
      </c>
      <c r="H40" s="122">
        <v>17697</v>
      </c>
      <c r="I40" s="198">
        <f t="shared" si="17"/>
        <v>74858.310000000012</v>
      </c>
      <c r="J40" s="198"/>
      <c r="K40" s="118"/>
      <c r="L40" s="124"/>
      <c r="M40" s="124">
        <v>4</v>
      </c>
      <c r="N40" s="118"/>
      <c r="O40" s="118"/>
      <c r="P40" s="200">
        <f>I40/18*M40</f>
        <v>16635.180000000004</v>
      </c>
      <c r="Q40" s="118">
        <f>I40/18*N40</f>
        <v>0</v>
      </c>
      <c r="R40" s="118">
        <f>I40/18*O40</f>
        <v>0</v>
      </c>
      <c r="S40" s="201">
        <f>(L40+P40+Q40+R40)*25%</f>
        <v>4158.795000000001</v>
      </c>
      <c r="T40" s="202">
        <f>(P40+Q40+R40+L40+S40)*10%</f>
        <v>2079.3975000000005</v>
      </c>
      <c r="U40" s="124"/>
      <c r="V40" s="124"/>
      <c r="W40" s="124"/>
      <c r="X40" s="124"/>
      <c r="Y40" s="124"/>
      <c r="Z40" s="124"/>
      <c r="AA40" s="124"/>
      <c r="AB40" s="124"/>
      <c r="AC40" s="124"/>
      <c r="AD40" s="124"/>
      <c r="AE40" s="124"/>
      <c r="AF40" s="124"/>
      <c r="AG40" s="167"/>
      <c r="AH40" s="167"/>
      <c r="AI40" s="124"/>
      <c r="AJ40" s="124"/>
      <c r="AK40" s="124"/>
      <c r="AL40" s="124"/>
      <c r="AM40" s="121">
        <f>AU40</f>
        <v>6238.1925000000001</v>
      </c>
      <c r="AN40" s="124"/>
      <c r="AO40" s="124"/>
      <c r="AP40" s="202">
        <f t="shared" si="15"/>
        <v>6238.1925000000001</v>
      </c>
      <c r="AQ40" s="198">
        <f>P40+Q40+R40+S40+T40+X40+Y40+Z40+AA40+AB40+AC40+AD40+AE40+AF40+AG40+AH40+AI40+AJ40+AK40+AM40+AN40+AO40+L40</f>
        <v>29111.565000000006</v>
      </c>
      <c r="AR40" s="198">
        <f>AQ40-AP40</f>
        <v>22873.372500000005</v>
      </c>
      <c r="AS40" s="118">
        <f>I40*25%</f>
        <v>18714.577500000003</v>
      </c>
      <c r="AT40" s="198">
        <f>AS40+I40</f>
        <v>93572.887500000012</v>
      </c>
      <c r="AU40" s="121">
        <f>AT40/18*(M40+N40+O40)*30%</f>
        <v>6238.1925000000001</v>
      </c>
    </row>
    <row r="41" spans="1:47" s="82" customFormat="1" ht="12.75" x14ac:dyDescent="0.2">
      <c r="A41" s="118">
        <v>24</v>
      </c>
      <c r="B41" s="124" t="s">
        <v>203</v>
      </c>
      <c r="C41" s="124" t="s">
        <v>63</v>
      </c>
      <c r="D41" s="124" t="s">
        <v>95</v>
      </c>
      <c r="E41" s="124" t="s">
        <v>93</v>
      </c>
      <c r="F41" s="124">
        <v>8</v>
      </c>
      <c r="G41" s="124">
        <v>3.97</v>
      </c>
      <c r="H41" s="122">
        <v>17697</v>
      </c>
      <c r="I41" s="198">
        <f t="shared" si="17"/>
        <v>70257.09</v>
      </c>
      <c r="J41" s="198"/>
      <c r="K41" s="118"/>
      <c r="L41" s="124"/>
      <c r="M41" s="124">
        <v>6</v>
      </c>
      <c r="N41" s="118"/>
      <c r="O41" s="118"/>
      <c r="P41" s="200">
        <f>I41/18*M41</f>
        <v>23419.03</v>
      </c>
      <c r="Q41" s="118">
        <f>I41/18*N41</f>
        <v>0</v>
      </c>
      <c r="R41" s="118">
        <f>I41/18*O41</f>
        <v>0</v>
      </c>
      <c r="S41" s="201">
        <f>(L41+P41+Q41+R41)*25%</f>
        <v>5854.7574999999997</v>
      </c>
      <c r="T41" s="202">
        <f>(P41+Q41+R41+L41+S41)*10%</f>
        <v>2927.3787499999999</v>
      </c>
      <c r="U41" s="124"/>
      <c r="V41" s="124"/>
      <c r="W41" s="124"/>
      <c r="X41" s="124"/>
      <c r="Y41" s="124"/>
      <c r="Z41" s="124"/>
      <c r="AA41" s="124"/>
      <c r="AB41" s="124"/>
      <c r="AC41" s="124"/>
      <c r="AD41" s="124"/>
      <c r="AE41" s="124"/>
      <c r="AF41" s="124"/>
      <c r="AG41" s="167"/>
      <c r="AH41" s="167"/>
      <c r="AI41" s="124"/>
      <c r="AJ41" s="124"/>
      <c r="AK41" s="124"/>
      <c r="AL41" s="124"/>
      <c r="AM41" s="121">
        <f>AU41</f>
        <v>8782.1362499999977</v>
      </c>
      <c r="AN41" s="124"/>
      <c r="AO41" s="124"/>
      <c r="AP41" s="202">
        <f t="shared" si="15"/>
        <v>8782.1362499999977</v>
      </c>
      <c r="AQ41" s="198">
        <f>P41+Q41+R41+S41+T41+X41+Y41+Z41+AA41+AB41+AC41+AD41+AE41+AF41+AG41+AH41+AI41+AJ41+AK41+AM41+AN41+AO41+L41</f>
        <v>40983.302499999998</v>
      </c>
      <c r="AR41" s="198">
        <f>AQ41-AP41</f>
        <v>32201.166250000002</v>
      </c>
      <c r="AS41" s="118">
        <f>I41*25%</f>
        <v>17564.272499999999</v>
      </c>
      <c r="AT41" s="198">
        <f>AS41+I41</f>
        <v>87821.362499999988</v>
      </c>
      <c r="AU41" s="121">
        <f>AT41/18*(M41+N41+O41)*30%</f>
        <v>8782.1362499999977</v>
      </c>
    </row>
    <row r="42" spans="1:47" ht="12.75" x14ac:dyDescent="0.2">
      <c r="A42" s="118">
        <v>25</v>
      </c>
      <c r="B42" s="74" t="s">
        <v>205</v>
      </c>
      <c r="C42" s="74" t="s">
        <v>60</v>
      </c>
      <c r="D42" s="74" t="s">
        <v>206</v>
      </c>
      <c r="E42" s="112" t="s">
        <v>80</v>
      </c>
      <c r="F42" s="112">
        <v>35.11</v>
      </c>
      <c r="G42" s="118">
        <v>5.41</v>
      </c>
      <c r="H42" s="118">
        <v>17697</v>
      </c>
      <c r="I42" s="198">
        <f t="shared" si="17"/>
        <v>95740.77</v>
      </c>
      <c r="J42" s="195"/>
      <c r="K42" s="196">
        <v>1</v>
      </c>
      <c r="L42" s="118">
        <f>I42/24*K42</f>
        <v>3989.19875</v>
      </c>
      <c r="M42" s="118"/>
      <c r="N42" s="118"/>
      <c r="O42" s="199"/>
      <c r="P42" s="200">
        <f>I42/18*M42</f>
        <v>0</v>
      </c>
      <c r="Q42" s="118">
        <f>I42/18*N42</f>
        <v>0</v>
      </c>
      <c r="R42" s="118">
        <f>I42/18*O42</f>
        <v>0</v>
      </c>
      <c r="S42" s="201">
        <f>(L42+P42+Q42+R42)*25%</f>
        <v>997.2996875</v>
      </c>
      <c r="T42" s="202">
        <f>(P42+Q42+R42+L42+S42)*10%</f>
        <v>498.64984375000006</v>
      </c>
      <c r="U42" s="118"/>
      <c r="V42" s="118"/>
      <c r="W42" s="118"/>
      <c r="X42" s="118"/>
      <c r="Y42" s="118"/>
      <c r="Z42" s="118"/>
      <c r="AA42" s="118"/>
      <c r="AB42" s="118"/>
      <c r="AC42" s="118"/>
      <c r="AD42" s="118"/>
      <c r="AE42" s="118"/>
      <c r="AF42" s="51"/>
      <c r="AG42" s="118"/>
      <c r="AH42" s="118"/>
      <c r="AI42" s="118"/>
      <c r="AJ42" s="118"/>
      <c r="AK42" s="118"/>
      <c r="AL42" s="118"/>
      <c r="AM42" s="121">
        <f>AU42</f>
        <v>0</v>
      </c>
      <c r="AN42" s="118"/>
      <c r="AO42" s="118"/>
      <c r="AP42" s="202">
        <f>AM42+AN42+AH42+AG42+AF42</f>
        <v>0</v>
      </c>
      <c r="AQ42" s="198">
        <f>P42+Q42+R42+S42+T42+X42+Y42+Z42+AA42+AB42+AC42+AD42+AE42+AF42+AG42+AH42+AI42+AJ42+AK42+AM42+AN42+AO42+L42</f>
        <v>5485.1482812499999</v>
      </c>
      <c r="AR42" s="198">
        <f>AQ42-AP42</f>
        <v>5485.1482812499999</v>
      </c>
    </row>
    <row r="43" spans="1:47" ht="12.75" x14ac:dyDescent="0.2">
      <c r="A43" s="118">
        <v>26</v>
      </c>
      <c r="B43" s="74" t="s">
        <v>207</v>
      </c>
      <c r="C43" s="74" t="s">
        <v>60</v>
      </c>
      <c r="D43" s="74" t="s">
        <v>98</v>
      </c>
      <c r="E43" s="112" t="s">
        <v>81</v>
      </c>
      <c r="F43" s="112">
        <v>16.010000000000002</v>
      </c>
      <c r="G43" s="118">
        <v>5.03</v>
      </c>
      <c r="H43" s="118">
        <v>17697</v>
      </c>
      <c r="I43" s="198">
        <f t="shared" si="17"/>
        <v>89015.91</v>
      </c>
      <c r="J43" s="195"/>
      <c r="K43" s="196">
        <v>24</v>
      </c>
      <c r="L43" s="118">
        <f>I43/24*K43</f>
        <v>89015.91</v>
      </c>
      <c r="M43" s="118"/>
      <c r="N43" s="118"/>
      <c r="O43" s="199"/>
      <c r="P43" s="200">
        <f>I43/18*M43</f>
        <v>0</v>
      </c>
      <c r="Q43" s="118">
        <f>I43/18*N43</f>
        <v>0</v>
      </c>
      <c r="R43" s="118">
        <f>I43/18*O43</f>
        <v>0</v>
      </c>
      <c r="S43" s="201">
        <f>(L43+P43+Q43+R43)*25%</f>
        <v>22253.977500000001</v>
      </c>
      <c r="T43" s="202">
        <f>(P43+Q43+R43+L43+S43)*10%</f>
        <v>11126.988750000002</v>
      </c>
      <c r="U43" s="118"/>
      <c r="V43" s="118"/>
      <c r="W43" s="118"/>
      <c r="X43" s="118"/>
      <c r="Y43" s="118"/>
      <c r="Z43" s="118"/>
      <c r="AA43" s="118"/>
      <c r="AB43" s="118"/>
      <c r="AC43" s="118"/>
      <c r="AD43" s="118"/>
      <c r="AE43" s="118"/>
      <c r="AF43" s="51"/>
      <c r="AG43" s="118"/>
      <c r="AH43" s="118"/>
      <c r="AI43" s="118"/>
      <c r="AJ43" s="118"/>
      <c r="AK43" s="118"/>
      <c r="AL43" s="118"/>
      <c r="AM43" s="121">
        <f>AU43</f>
        <v>0</v>
      </c>
      <c r="AN43" s="118"/>
      <c r="AO43" s="118"/>
      <c r="AP43" s="202">
        <f>AM43+AN43+AH43+AG43+AF43</f>
        <v>0</v>
      </c>
      <c r="AQ43" s="198">
        <f>P43+Q43+R43+S43+T43+X43+Y43+Z43+AA43+AB43+AC43+AD43+AE43+AF43+AG43+AH43+AI43+AJ43+AK43+AM43+AN43+AO43+L43</f>
        <v>122396.87625</v>
      </c>
      <c r="AR43" s="198">
        <f>AQ43-AP43</f>
        <v>122396.87625</v>
      </c>
    </row>
    <row r="44" spans="1:47" x14ac:dyDescent="0.2">
      <c r="A44" s="125"/>
      <c r="B44" s="124"/>
      <c r="C44" s="125"/>
      <c r="D44" s="125"/>
      <c r="E44" s="125"/>
      <c r="F44" s="125"/>
      <c r="G44" s="124"/>
      <c r="H44" s="95"/>
      <c r="I44" s="95"/>
      <c r="J44" s="95"/>
      <c r="K44" s="62">
        <f>SUM(K18:K43)</f>
        <v>25</v>
      </c>
      <c r="L44" s="62">
        <f t="shared" ref="L44:AU44" si="18">SUM(L18:L43)</f>
        <v>93005.108749999999</v>
      </c>
      <c r="M44" s="62">
        <f t="shared" si="18"/>
        <v>153</v>
      </c>
      <c r="N44" s="62">
        <f t="shared" si="18"/>
        <v>0</v>
      </c>
      <c r="O44" s="62">
        <f t="shared" si="18"/>
        <v>0</v>
      </c>
      <c r="P44" s="62">
        <f t="shared" si="18"/>
        <v>702639.72166666691</v>
      </c>
      <c r="Q44" s="62">
        <f t="shared" si="18"/>
        <v>0</v>
      </c>
      <c r="R44" s="62">
        <f t="shared" si="18"/>
        <v>0</v>
      </c>
      <c r="S44" s="62">
        <f t="shared" si="18"/>
        <v>198911.20760416673</v>
      </c>
      <c r="T44" s="62">
        <f t="shared" si="18"/>
        <v>99455.603802083366</v>
      </c>
      <c r="U44" s="62">
        <f t="shared" si="18"/>
        <v>0</v>
      </c>
      <c r="V44" s="62">
        <f t="shared" si="18"/>
        <v>0</v>
      </c>
      <c r="W44" s="62">
        <f t="shared" si="18"/>
        <v>0</v>
      </c>
      <c r="X44" s="62">
        <f t="shared" si="18"/>
        <v>0</v>
      </c>
      <c r="Y44" s="62">
        <f t="shared" si="18"/>
        <v>0</v>
      </c>
      <c r="Z44" s="62">
        <f t="shared" si="18"/>
        <v>0</v>
      </c>
      <c r="AA44" s="62">
        <f t="shared" si="18"/>
        <v>0</v>
      </c>
      <c r="AB44" s="62">
        <f t="shared" si="18"/>
        <v>0</v>
      </c>
      <c r="AC44" s="62">
        <f t="shared" si="18"/>
        <v>0</v>
      </c>
      <c r="AD44" s="62">
        <f t="shared" si="18"/>
        <v>0</v>
      </c>
      <c r="AE44" s="62">
        <f t="shared" si="18"/>
        <v>0</v>
      </c>
      <c r="AF44" s="62">
        <f t="shared" si="18"/>
        <v>67656.614166666666</v>
      </c>
      <c r="AG44" s="62">
        <f t="shared" si="18"/>
        <v>12301.44278125</v>
      </c>
      <c r="AH44" s="62">
        <f t="shared" si="18"/>
        <v>30246.385125000001</v>
      </c>
      <c r="AI44" s="62">
        <f t="shared" si="18"/>
        <v>0</v>
      </c>
      <c r="AJ44" s="62">
        <f t="shared" si="18"/>
        <v>0</v>
      </c>
      <c r="AK44" s="62">
        <f t="shared" si="18"/>
        <v>0</v>
      </c>
      <c r="AL44" s="62">
        <f t="shared" si="18"/>
        <v>0</v>
      </c>
      <c r="AM44" s="62">
        <f t="shared" si="18"/>
        <v>263489.895625</v>
      </c>
      <c r="AN44" s="62">
        <f t="shared" si="18"/>
        <v>0</v>
      </c>
      <c r="AO44" s="62">
        <f t="shared" si="18"/>
        <v>0</v>
      </c>
      <c r="AP44" s="62">
        <f t="shared" si="18"/>
        <v>373694.33769791666</v>
      </c>
      <c r="AQ44" s="62">
        <f t="shared" si="18"/>
        <v>1467705.9795208334</v>
      </c>
      <c r="AR44" s="62">
        <f t="shared" si="18"/>
        <v>1094011.6418229167</v>
      </c>
      <c r="AS44" s="62">
        <f t="shared" si="18"/>
        <v>491401.44750000007</v>
      </c>
      <c r="AT44" s="62">
        <f t="shared" si="18"/>
        <v>2457007.2375000003</v>
      </c>
      <c r="AU44" s="62">
        <f t="shared" si="18"/>
        <v>263489.895625</v>
      </c>
    </row>
    <row r="45" spans="1:47" x14ac:dyDescent="0.2">
      <c r="M45" s="82"/>
      <c r="O45" s="109"/>
    </row>
    <row r="46" spans="1:47" x14ac:dyDescent="0.2">
      <c r="B46" s="66" t="s">
        <v>86</v>
      </c>
      <c r="M46" s="82"/>
      <c r="O46" s="109"/>
      <c r="AQ46" s="126"/>
    </row>
    <row r="47" spans="1:47" x14ac:dyDescent="0.2">
      <c r="B47" s="66" t="s">
        <v>89</v>
      </c>
      <c r="M47" s="82"/>
      <c r="O47" s="109"/>
    </row>
    <row r="48" spans="1:47" x14ac:dyDescent="0.2">
      <c r="B48" s="66" t="s">
        <v>90</v>
      </c>
      <c r="M48" s="82"/>
      <c r="O48" s="109"/>
    </row>
    <row r="50" spans="1:44" x14ac:dyDescent="0.2">
      <c r="M50" s="82"/>
      <c r="N50" s="83" t="s">
        <v>193</v>
      </c>
      <c r="O50" s="84"/>
      <c r="P50" s="84"/>
      <c r="Q50" s="85" t="s">
        <v>44</v>
      </c>
      <c r="R50" s="86" t="s">
        <v>45</v>
      </c>
      <c r="S50" s="86" t="s">
        <v>46</v>
      </c>
      <c r="T50" s="86" t="s">
        <v>47</v>
      </c>
    </row>
    <row r="51" spans="1:44" x14ac:dyDescent="0.2">
      <c r="B51" s="66" t="s">
        <v>87</v>
      </c>
      <c r="C51" s="66"/>
      <c r="D51" s="66"/>
      <c r="E51" s="66"/>
      <c r="F51" s="66"/>
      <c r="G51" s="66"/>
      <c r="M51" s="82"/>
      <c r="N51" s="83" t="s">
        <v>48</v>
      </c>
      <c r="O51" s="88"/>
      <c r="P51" s="88"/>
      <c r="Q51" s="89">
        <v>14</v>
      </c>
      <c r="R51" s="89">
        <v>17</v>
      </c>
      <c r="S51" s="89">
        <v>6</v>
      </c>
      <c r="T51" s="89">
        <f>Q51+R51+S51</f>
        <v>37</v>
      </c>
    </row>
    <row r="52" spans="1:44" x14ac:dyDescent="0.2">
      <c r="B52" s="66" t="s">
        <v>88</v>
      </c>
      <c r="C52" s="66"/>
      <c r="D52" s="66"/>
      <c r="E52" s="66"/>
      <c r="F52" s="66"/>
      <c r="G52" s="66"/>
      <c r="M52" s="82"/>
      <c r="N52" s="90" t="s">
        <v>49</v>
      </c>
      <c r="O52" s="91"/>
      <c r="P52" s="91"/>
      <c r="Q52" s="89">
        <v>14</v>
      </c>
      <c r="R52" s="89">
        <v>17</v>
      </c>
      <c r="S52" s="89">
        <v>6</v>
      </c>
      <c r="T52" s="89">
        <f t="shared" ref="T52:T58" si="19">Q52+R52+S52</f>
        <v>37</v>
      </c>
    </row>
    <row r="53" spans="1:44" x14ac:dyDescent="0.2">
      <c r="M53" s="82"/>
      <c r="N53" s="92" t="s">
        <v>59</v>
      </c>
      <c r="O53" s="93"/>
      <c r="P53" s="94"/>
      <c r="Q53" s="94">
        <v>260</v>
      </c>
      <c r="R53" s="95">
        <v>259</v>
      </c>
      <c r="S53" s="95">
        <v>62</v>
      </c>
      <c r="T53" s="89">
        <f t="shared" si="19"/>
        <v>581</v>
      </c>
    </row>
    <row r="54" spans="1:44" x14ac:dyDescent="0.2">
      <c r="M54" s="96"/>
      <c r="N54" s="97" t="s">
        <v>50</v>
      </c>
      <c r="O54" s="98"/>
      <c r="P54" s="98"/>
      <c r="Q54" s="99">
        <v>345</v>
      </c>
      <c r="R54" s="99">
        <v>510</v>
      </c>
      <c r="S54" s="99">
        <v>168</v>
      </c>
      <c r="T54" s="89">
        <f t="shared" si="19"/>
        <v>1023</v>
      </c>
      <c r="U54" s="100"/>
      <c r="V54" s="100"/>
      <c r="AD54" s="100"/>
      <c r="AE54" s="100"/>
      <c r="AF54" s="100"/>
      <c r="AG54" s="100"/>
      <c r="AH54" s="100"/>
      <c r="AI54" s="101"/>
      <c r="AJ54" s="100"/>
      <c r="AK54" s="100"/>
      <c r="AL54" s="100"/>
      <c r="AM54" s="100"/>
    </row>
    <row r="55" spans="1:44" x14ac:dyDescent="0.2">
      <c r="M55" s="82"/>
      <c r="N55" s="83" t="s">
        <v>51</v>
      </c>
      <c r="O55" s="88"/>
      <c r="P55" s="88"/>
      <c r="Q55" s="102">
        <f>Q54+Q56+Q57</f>
        <v>389</v>
      </c>
      <c r="R55" s="102">
        <f>R54+R56+R57</f>
        <v>587</v>
      </c>
      <c r="S55" s="102">
        <f>S54+S56+S57</f>
        <v>184</v>
      </c>
      <c r="T55" s="89">
        <f t="shared" si="19"/>
        <v>1160</v>
      </c>
      <c r="U55" s="81" t="s">
        <v>185</v>
      </c>
    </row>
    <row r="56" spans="1:44" x14ac:dyDescent="0.2">
      <c r="M56" s="82"/>
      <c r="N56" s="90" t="s">
        <v>52</v>
      </c>
      <c r="O56" s="91"/>
      <c r="P56" s="91"/>
      <c r="Q56" s="103">
        <v>9</v>
      </c>
      <c r="R56" s="103">
        <v>18</v>
      </c>
      <c r="S56" s="103">
        <v>14</v>
      </c>
      <c r="T56" s="89">
        <f t="shared" si="19"/>
        <v>41</v>
      </c>
      <c r="AD56" s="104"/>
    </row>
    <row r="57" spans="1:44" x14ac:dyDescent="0.2">
      <c r="E57" s="66" t="s">
        <v>210</v>
      </c>
      <c r="F57" s="66"/>
      <c r="G57" s="66"/>
      <c r="H57" s="66"/>
      <c r="I57" s="66"/>
      <c r="J57" s="66"/>
      <c r="M57" s="105"/>
      <c r="N57" s="83" t="s">
        <v>53</v>
      </c>
      <c r="O57" s="106"/>
      <c r="P57" s="107"/>
      <c r="Q57" s="108">
        <v>35</v>
      </c>
      <c r="R57" s="86">
        <v>59</v>
      </c>
      <c r="S57" s="86">
        <v>2</v>
      </c>
      <c r="T57" s="89">
        <f t="shared" si="19"/>
        <v>96</v>
      </c>
    </row>
    <row r="58" spans="1:44" x14ac:dyDescent="0.2">
      <c r="H58" s="66" t="s">
        <v>134</v>
      </c>
      <c r="I58" s="66"/>
      <c r="J58" s="66"/>
      <c r="K58" s="66"/>
      <c r="L58" s="66"/>
      <c r="M58" s="82"/>
      <c r="N58" s="95"/>
      <c r="O58" s="95" t="s">
        <v>54</v>
      </c>
      <c r="P58" s="95"/>
      <c r="Q58" s="86">
        <v>72</v>
      </c>
      <c r="R58" s="72"/>
      <c r="S58" s="72"/>
      <c r="T58" s="89">
        <f t="shared" si="19"/>
        <v>72</v>
      </c>
    </row>
    <row r="59" spans="1:44" ht="12.75" thickBot="1" x14ac:dyDescent="0.25">
      <c r="B59" s="81" t="s">
        <v>155</v>
      </c>
      <c r="M59" s="82"/>
      <c r="O59" s="109"/>
      <c r="R59" s="81" t="s">
        <v>154</v>
      </c>
    </row>
    <row r="60" spans="1:44" ht="34.5" customHeight="1" x14ac:dyDescent="0.2">
      <c r="A60" s="300" t="s">
        <v>18</v>
      </c>
      <c r="B60" s="303" t="s">
        <v>19</v>
      </c>
      <c r="C60" s="306" t="s">
        <v>20</v>
      </c>
      <c r="D60" s="303" t="s">
        <v>21</v>
      </c>
      <c r="E60" s="306" t="s">
        <v>22</v>
      </c>
      <c r="F60" s="306" t="s">
        <v>23</v>
      </c>
      <c r="G60" s="306" t="s">
        <v>24</v>
      </c>
      <c r="H60" s="306" t="s">
        <v>55</v>
      </c>
      <c r="I60" s="307" t="s">
        <v>25</v>
      </c>
      <c r="J60" s="284" t="s">
        <v>209</v>
      </c>
      <c r="K60" s="127" t="s">
        <v>26</v>
      </c>
      <c r="L60" s="110" t="s">
        <v>27</v>
      </c>
      <c r="M60" s="287" t="s">
        <v>28</v>
      </c>
      <c r="N60" s="288"/>
      <c r="O60" s="289"/>
      <c r="P60" s="290" t="s">
        <v>27</v>
      </c>
      <c r="Q60" s="291"/>
      <c r="R60" s="292"/>
      <c r="S60" s="293">
        <v>0.25</v>
      </c>
      <c r="T60" s="296" t="s">
        <v>30</v>
      </c>
      <c r="U60" s="287" t="s">
        <v>29</v>
      </c>
      <c r="V60" s="288"/>
      <c r="W60" s="288"/>
      <c r="X60" s="288"/>
      <c r="Y60" s="288"/>
      <c r="Z60" s="299"/>
      <c r="AA60" s="273" t="s">
        <v>4</v>
      </c>
      <c r="AB60" s="275"/>
      <c r="AC60" s="261" t="s">
        <v>3</v>
      </c>
      <c r="AD60" s="261" t="s">
        <v>43</v>
      </c>
      <c r="AE60" s="273" t="s">
        <v>11</v>
      </c>
      <c r="AF60" s="274"/>
      <c r="AG60" s="274"/>
      <c r="AH60" s="275"/>
      <c r="AI60" s="276" t="s">
        <v>6</v>
      </c>
      <c r="AJ60" s="277"/>
      <c r="AK60" s="278"/>
      <c r="AL60" s="180"/>
      <c r="AM60" s="279" t="s">
        <v>12</v>
      </c>
      <c r="AN60" s="273" t="s">
        <v>16</v>
      </c>
      <c r="AO60" s="275"/>
      <c r="AP60" s="218" t="s">
        <v>14</v>
      </c>
      <c r="AQ60" s="221" t="s">
        <v>31</v>
      </c>
      <c r="AR60" s="224" t="s">
        <v>32</v>
      </c>
    </row>
    <row r="61" spans="1:44" ht="11.45" customHeight="1" x14ac:dyDescent="0.2">
      <c r="A61" s="301"/>
      <c r="B61" s="304"/>
      <c r="C61" s="271"/>
      <c r="D61" s="304"/>
      <c r="E61" s="271"/>
      <c r="F61" s="271"/>
      <c r="G61" s="271"/>
      <c r="H61" s="271"/>
      <c r="I61" s="308"/>
      <c r="J61" s="285"/>
      <c r="K61" s="227" t="s">
        <v>33</v>
      </c>
      <c r="L61" s="230" t="s">
        <v>33</v>
      </c>
      <c r="M61" s="233" t="s">
        <v>217</v>
      </c>
      <c r="N61" s="230" t="s">
        <v>1</v>
      </c>
      <c r="O61" s="236" t="s">
        <v>2</v>
      </c>
      <c r="P61" s="233" t="s">
        <v>217</v>
      </c>
      <c r="Q61" s="230" t="s">
        <v>1</v>
      </c>
      <c r="R61" s="239" t="s">
        <v>2</v>
      </c>
      <c r="S61" s="294"/>
      <c r="T61" s="297"/>
      <c r="U61" s="242" t="s">
        <v>34</v>
      </c>
      <c r="V61" s="243"/>
      <c r="W61" s="244"/>
      <c r="X61" s="248" t="s">
        <v>35</v>
      </c>
      <c r="Y61" s="249"/>
      <c r="Z61" s="250"/>
      <c r="AA61" s="254" t="s">
        <v>17</v>
      </c>
      <c r="AB61" s="255"/>
      <c r="AC61" s="262"/>
      <c r="AD61" s="262"/>
      <c r="AE61" s="258" t="s">
        <v>10</v>
      </c>
      <c r="AF61" s="261" t="s">
        <v>9</v>
      </c>
      <c r="AG61" s="264" t="s">
        <v>8</v>
      </c>
      <c r="AH61" s="264" t="s">
        <v>7</v>
      </c>
      <c r="AI61" s="267" t="s">
        <v>36</v>
      </c>
      <c r="AJ61" s="270" t="s">
        <v>37</v>
      </c>
      <c r="AK61" s="270" t="s">
        <v>38</v>
      </c>
      <c r="AL61" s="178"/>
      <c r="AM61" s="280"/>
      <c r="AN61" s="258" t="s">
        <v>13</v>
      </c>
      <c r="AO61" s="258" t="s">
        <v>15</v>
      </c>
      <c r="AP61" s="219"/>
      <c r="AQ61" s="222"/>
      <c r="AR61" s="225"/>
    </row>
    <row r="62" spans="1:44" x14ac:dyDescent="0.2">
      <c r="A62" s="301"/>
      <c r="B62" s="304"/>
      <c r="C62" s="271"/>
      <c r="D62" s="304"/>
      <c r="E62" s="271"/>
      <c r="F62" s="271"/>
      <c r="G62" s="271"/>
      <c r="H62" s="271"/>
      <c r="I62" s="308"/>
      <c r="J62" s="285"/>
      <c r="K62" s="228"/>
      <c r="L62" s="231"/>
      <c r="M62" s="234"/>
      <c r="N62" s="231"/>
      <c r="O62" s="237"/>
      <c r="P62" s="234"/>
      <c r="Q62" s="231"/>
      <c r="R62" s="240"/>
      <c r="S62" s="294"/>
      <c r="T62" s="297"/>
      <c r="U62" s="245"/>
      <c r="V62" s="246"/>
      <c r="W62" s="247"/>
      <c r="X62" s="251"/>
      <c r="Y62" s="252"/>
      <c r="Z62" s="253"/>
      <c r="AA62" s="256"/>
      <c r="AB62" s="257"/>
      <c r="AC62" s="262"/>
      <c r="AD62" s="262"/>
      <c r="AE62" s="259"/>
      <c r="AF62" s="262"/>
      <c r="AG62" s="265"/>
      <c r="AH62" s="265"/>
      <c r="AI62" s="268"/>
      <c r="AJ62" s="271"/>
      <c r="AK62" s="271"/>
      <c r="AL62" s="178"/>
      <c r="AM62" s="280"/>
      <c r="AN62" s="259"/>
      <c r="AO62" s="259"/>
      <c r="AP62" s="219"/>
      <c r="AQ62" s="222"/>
      <c r="AR62" s="225"/>
    </row>
    <row r="63" spans="1:44" ht="11.45" customHeight="1" x14ac:dyDescent="0.2">
      <c r="A63" s="301"/>
      <c r="B63" s="304"/>
      <c r="C63" s="271"/>
      <c r="D63" s="304"/>
      <c r="E63" s="271"/>
      <c r="F63" s="271"/>
      <c r="G63" s="271"/>
      <c r="H63" s="271"/>
      <c r="I63" s="308"/>
      <c r="J63" s="285"/>
      <c r="K63" s="228"/>
      <c r="L63" s="231"/>
      <c r="M63" s="234"/>
      <c r="N63" s="231"/>
      <c r="O63" s="237"/>
      <c r="P63" s="234"/>
      <c r="Q63" s="231"/>
      <c r="R63" s="240"/>
      <c r="S63" s="294"/>
      <c r="T63" s="297"/>
      <c r="U63" s="230" t="s">
        <v>0</v>
      </c>
      <c r="V63" s="230" t="s">
        <v>1</v>
      </c>
      <c r="W63" s="230" t="s">
        <v>2</v>
      </c>
      <c r="X63" s="264" t="s">
        <v>0</v>
      </c>
      <c r="Y63" s="264" t="s">
        <v>1</v>
      </c>
      <c r="Z63" s="264" t="s">
        <v>2</v>
      </c>
      <c r="AA63" s="111"/>
      <c r="AB63" s="111"/>
      <c r="AC63" s="262"/>
      <c r="AD63" s="262"/>
      <c r="AE63" s="259"/>
      <c r="AF63" s="262"/>
      <c r="AG63" s="265"/>
      <c r="AH63" s="265"/>
      <c r="AI63" s="268"/>
      <c r="AJ63" s="271"/>
      <c r="AK63" s="271"/>
      <c r="AL63" s="178"/>
      <c r="AM63" s="280"/>
      <c r="AN63" s="259"/>
      <c r="AO63" s="259"/>
      <c r="AP63" s="219"/>
      <c r="AQ63" s="222"/>
      <c r="AR63" s="225"/>
    </row>
    <row r="64" spans="1:44" x14ac:dyDescent="0.2">
      <c r="A64" s="301"/>
      <c r="B64" s="304"/>
      <c r="C64" s="271"/>
      <c r="D64" s="304"/>
      <c r="E64" s="271"/>
      <c r="F64" s="271"/>
      <c r="G64" s="271"/>
      <c r="H64" s="271"/>
      <c r="I64" s="308"/>
      <c r="J64" s="285"/>
      <c r="K64" s="228"/>
      <c r="L64" s="231"/>
      <c r="M64" s="234"/>
      <c r="N64" s="231"/>
      <c r="O64" s="237"/>
      <c r="P64" s="234"/>
      <c r="Q64" s="231"/>
      <c r="R64" s="240"/>
      <c r="S64" s="294"/>
      <c r="T64" s="297"/>
      <c r="U64" s="231"/>
      <c r="V64" s="231"/>
      <c r="W64" s="231"/>
      <c r="X64" s="265"/>
      <c r="Y64" s="265"/>
      <c r="Z64" s="265"/>
      <c r="AA64" s="282" t="s">
        <v>0</v>
      </c>
      <c r="AB64" s="282" t="s">
        <v>5</v>
      </c>
      <c r="AC64" s="262"/>
      <c r="AD64" s="262"/>
      <c r="AE64" s="259"/>
      <c r="AF64" s="262"/>
      <c r="AG64" s="265"/>
      <c r="AH64" s="265"/>
      <c r="AI64" s="268"/>
      <c r="AJ64" s="271"/>
      <c r="AK64" s="271"/>
      <c r="AL64" s="178"/>
      <c r="AM64" s="280"/>
      <c r="AN64" s="259"/>
      <c r="AO64" s="259"/>
      <c r="AP64" s="219"/>
      <c r="AQ64" s="222"/>
      <c r="AR64" s="225"/>
    </row>
    <row r="65" spans="1:49" ht="12.75" thickBot="1" x14ac:dyDescent="0.25">
      <c r="A65" s="302"/>
      <c r="B65" s="305"/>
      <c r="C65" s="272"/>
      <c r="D65" s="305"/>
      <c r="E65" s="272"/>
      <c r="F65" s="272"/>
      <c r="G65" s="272"/>
      <c r="H65" s="272"/>
      <c r="I65" s="309"/>
      <c r="J65" s="286"/>
      <c r="K65" s="229"/>
      <c r="L65" s="232"/>
      <c r="M65" s="235"/>
      <c r="N65" s="232"/>
      <c r="O65" s="238"/>
      <c r="P65" s="235"/>
      <c r="Q65" s="232"/>
      <c r="R65" s="241"/>
      <c r="S65" s="295"/>
      <c r="T65" s="298"/>
      <c r="U65" s="232"/>
      <c r="V65" s="232"/>
      <c r="W65" s="232"/>
      <c r="X65" s="266"/>
      <c r="Y65" s="266"/>
      <c r="Z65" s="266"/>
      <c r="AA65" s="283"/>
      <c r="AB65" s="283"/>
      <c r="AC65" s="263"/>
      <c r="AD65" s="263"/>
      <c r="AE65" s="260"/>
      <c r="AF65" s="263"/>
      <c r="AG65" s="266"/>
      <c r="AH65" s="266"/>
      <c r="AI65" s="269"/>
      <c r="AJ65" s="272"/>
      <c r="AK65" s="272"/>
      <c r="AL65" s="179"/>
      <c r="AM65" s="281"/>
      <c r="AN65" s="260"/>
      <c r="AO65" s="260"/>
      <c r="AP65" s="220"/>
      <c r="AQ65" s="223"/>
      <c r="AR65" s="226"/>
      <c r="AS65" s="128"/>
      <c r="AV65" s="128"/>
      <c r="AW65" s="128"/>
    </row>
    <row r="66" spans="1:49" ht="12.75" x14ac:dyDescent="0.2">
      <c r="A66" s="118">
        <v>1</v>
      </c>
      <c r="B66" s="74" t="s">
        <v>135</v>
      </c>
      <c r="C66" s="74" t="s">
        <v>60</v>
      </c>
      <c r="D66" s="74" t="s">
        <v>109</v>
      </c>
      <c r="E66" s="112" t="s">
        <v>80</v>
      </c>
      <c r="F66" s="112">
        <v>26</v>
      </c>
      <c r="G66" s="118">
        <v>5.41</v>
      </c>
      <c r="H66" s="118">
        <v>17697</v>
      </c>
      <c r="I66" s="194">
        <f t="shared" ref="I66:I71" si="20">G66*H66</f>
        <v>95740.77</v>
      </c>
      <c r="J66" s="198">
        <f>I66*1.5</f>
        <v>143611.155</v>
      </c>
      <c r="K66" s="200"/>
      <c r="L66" s="118"/>
      <c r="M66" s="118">
        <v>15</v>
      </c>
      <c r="N66" s="95"/>
      <c r="O66" s="114"/>
      <c r="P66" s="94">
        <f t="shared" ref="P66:P86" si="21">J66/18*M66</f>
        <v>119675.96249999999</v>
      </c>
      <c r="Q66" s="95">
        <f t="shared" ref="Q66:Q86" si="22">J66/18*N66</f>
        <v>0</v>
      </c>
      <c r="R66" s="95">
        <f t="shared" ref="R66:R86" si="23">J66/18*O66</f>
        <v>0</v>
      </c>
      <c r="S66" s="115">
        <f t="shared" ref="S66:S86" si="24">(L66+P66+Q66+R66)*25%</f>
        <v>29918.990624999999</v>
      </c>
      <c r="T66" s="116">
        <f t="shared" ref="T66:T86" si="25">(P66+Q66+R66+L66+S66)*10%</f>
        <v>14959.495312500001</v>
      </c>
      <c r="U66" s="95"/>
      <c r="V66" s="95"/>
      <c r="W66" s="95"/>
      <c r="X66" s="95"/>
      <c r="Y66" s="95"/>
      <c r="Z66" s="95"/>
      <c r="AA66" s="95"/>
      <c r="AB66" s="95"/>
      <c r="AC66" s="95"/>
      <c r="AD66" s="95"/>
      <c r="AE66" s="95"/>
      <c r="AF66" s="51">
        <f>(P66+Q66+R66+S66)*40%</f>
        <v>59837.981250000004</v>
      </c>
      <c r="AG66" s="118"/>
      <c r="AH66" s="118"/>
      <c r="AI66" s="113"/>
      <c r="AJ66" s="95"/>
      <c r="AK66" s="95"/>
      <c r="AL66" s="95"/>
      <c r="AM66" s="156">
        <f>AU66</f>
        <v>44878.485937500001</v>
      </c>
      <c r="AN66" s="118"/>
      <c r="AO66" s="118"/>
      <c r="AP66" s="116">
        <f>AM66+AN66+AH66+AG66+AF66</f>
        <v>104716.46718750001</v>
      </c>
      <c r="AQ66" s="198">
        <f>P66+Q66+R66+S66+T66+X66+Y66+Z66+AA66+AB66+AC66+AD66+AE66+AF66+AG66+AH66+AI66+AJ66+AK66+AM66+AN66+AO66+L66</f>
        <v>269270.91562500002</v>
      </c>
      <c r="AR66" s="117">
        <f t="shared" ref="AR66:AR86" si="26">AQ66-AP66</f>
        <v>164554.44843750002</v>
      </c>
      <c r="AS66" s="95">
        <f t="shared" ref="AS66:AS86" si="27">J66*25%</f>
        <v>35902.78875</v>
      </c>
      <c r="AT66" s="117">
        <f t="shared" ref="AT66:AT86" si="28">AS66+J66</f>
        <v>179513.94375000001</v>
      </c>
      <c r="AU66" s="156">
        <f>AT66/18*(M66+N66+O66)*30%</f>
        <v>44878.485937500001</v>
      </c>
    </row>
    <row r="67" spans="1:49" ht="12.75" x14ac:dyDescent="0.2">
      <c r="A67" s="118">
        <v>2</v>
      </c>
      <c r="B67" s="119" t="s">
        <v>136</v>
      </c>
      <c r="C67" s="74" t="s">
        <v>60</v>
      </c>
      <c r="D67" s="74" t="s">
        <v>109</v>
      </c>
      <c r="E67" s="112" t="s">
        <v>80</v>
      </c>
      <c r="F67" s="112">
        <v>36</v>
      </c>
      <c r="G67" s="118">
        <v>5.41</v>
      </c>
      <c r="H67" s="118">
        <v>17697</v>
      </c>
      <c r="I67" s="194">
        <f t="shared" si="20"/>
        <v>95740.77</v>
      </c>
      <c r="J67" s="198">
        <f t="shared" ref="J67:J95" si="29">I67*1.5</f>
        <v>143611.155</v>
      </c>
      <c r="K67" s="200"/>
      <c r="L67" s="118"/>
      <c r="M67" s="118">
        <v>1</v>
      </c>
      <c r="N67" s="95"/>
      <c r="O67" s="114"/>
      <c r="P67" s="94">
        <f t="shared" si="21"/>
        <v>7978.3975</v>
      </c>
      <c r="Q67" s="95">
        <f t="shared" si="22"/>
        <v>0</v>
      </c>
      <c r="R67" s="95">
        <f t="shared" si="23"/>
        <v>0</v>
      </c>
      <c r="S67" s="115">
        <f t="shared" si="24"/>
        <v>1994.599375</v>
      </c>
      <c r="T67" s="116">
        <f t="shared" si="25"/>
        <v>997.29968750000012</v>
      </c>
      <c r="U67" s="95"/>
      <c r="V67" s="95"/>
      <c r="W67" s="95"/>
      <c r="X67" s="95"/>
      <c r="Y67" s="95"/>
      <c r="Z67" s="95"/>
      <c r="AA67" s="95"/>
      <c r="AB67" s="95"/>
      <c r="AC67" s="95"/>
      <c r="AD67" s="95"/>
      <c r="AE67" s="95"/>
      <c r="AF67" s="51">
        <f>(P67+Q67+R67+S67)*40%</f>
        <v>3989.1987500000005</v>
      </c>
      <c r="AG67" s="118"/>
      <c r="AH67" s="118"/>
      <c r="AI67" s="113"/>
      <c r="AJ67" s="95"/>
      <c r="AK67" s="95"/>
      <c r="AL67" s="95"/>
      <c r="AM67" s="156">
        <f t="shared" ref="AM67:AM95" si="30">AU67</f>
        <v>2991.8990625000001</v>
      </c>
      <c r="AN67" s="118"/>
      <c r="AO67" s="118"/>
      <c r="AP67" s="116">
        <f t="shared" ref="AP67:AP95" si="31">AM67+AN67+AH67+AG67+AF67</f>
        <v>6981.0978125000001</v>
      </c>
      <c r="AQ67" s="198">
        <f t="shared" ref="AQ67:AQ95" si="32">P67+Q67+R67+S67+T67+X67+Y67+Z67+AA67+AB67+AC67+AD67+AE67+AF67+AG67+AH67+AI67+AJ67+AK67+AM67+AN67+AO67+L67</f>
        <v>17951.394375000003</v>
      </c>
      <c r="AR67" s="117">
        <f t="shared" si="26"/>
        <v>10970.296562500003</v>
      </c>
      <c r="AS67" s="95">
        <f t="shared" si="27"/>
        <v>35902.78875</v>
      </c>
      <c r="AT67" s="117">
        <f t="shared" si="28"/>
        <v>179513.94375000001</v>
      </c>
      <c r="AU67" s="156">
        <f t="shared" ref="AU67:AU86" si="33">AT67/18*(M67+N67+O67)*30%</f>
        <v>2991.8990625000001</v>
      </c>
    </row>
    <row r="68" spans="1:49" ht="12.75" x14ac:dyDescent="0.2">
      <c r="A68" s="118">
        <v>3</v>
      </c>
      <c r="B68" s="74" t="s">
        <v>137</v>
      </c>
      <c r="C68" s="74" t="s">
        <v>60</v>
      </c>
      <c r="D68" s="74" t="s">
        <v>109</v>
      </c>
      <c r="E68" s="112" t="s">
        <v>80</v>
      </c>
      <c r="F68" s="112">
        <v>34</v>
      </c>
      <c r="G68" s="118">
        <v>5.41</v>
      </c>
      <c r="H68" s="118">
        <v>17697</v>
      </c>
      <c r="I68" s="194">
        <f t="shared" si="20"/>
        <v>95740.77</v>
      </c>
      <c r="J68" s="198">
        <f t="shared" si="29"/>
        <v>143611.155</v>
      </c>
      <c r="K68" s="200"/>
      <c r="L68" s="118"/>
      <c r="M68" s="118">
        <v>15</v>
      </c>
      <c r="N68" s="95"/>
      <c r="O68" s="114"/>
      <c r="P68" s="94">
        <f t="shared" si="21"/>
        <v>119675.96249999999</v>
      </c>
      <c r="Q68" s="95">
        <f t="shared" si="22"/>
        <v>0</v>
      </c>
      <c r="R68" s="95">
        <f t="shared" si="23"/>
        <v>0</v>
      </c>
      <c r="S68" s="115">
        <f t="shared" si="24"/>
        <v>29918.990624999999</v>
      </c>
      <c r="T68" s="116">
        <f t="shared" si="25"/>
        <v>14959.495312500001</v>
      </c>
      <c r="U68" s="95"/>
      <c r="V68" s="95"/>
      <c r="W68" s="95"/>
      <c r="X68" s="95"/>
      <c r="Y68" s="95"/>
      <c r="Z68" s="95"/>
      <c r="AA68" s="95"/>
      <c r="AB68" s="95"/>
      <c r="AC68" s="95"/>
      <c r="AD68" s="95"/>
      <c r="AE68" s="95"/>
      <c r="AF68" s="51">
        <v>0</v>
      </c>
      <c r="AG68" s="118"/>
      <c r="AH68" s="118"/>
      <c r="AI68" s="113"/>
      <c r="AJ68" s="95"/>
      <c r="AK68" s="95"/>
      <c r="AL68" s="95"/>
      <c r="AM68" s="156">
        <f t="shared" si="30"/>
        <v>44878.485937500001</v>
      </c>
      <c r="AN68" s="118"/>
      <c r="AO68" s="118"/>
      <c r="AP68" s="116">
        <f t="shared" si="31"/>
        <v>44878.485937500001</v>
      </c>
      <c r="AQ68" s="198">
        <f t="shared" si="32"/>
        <v>209432.93437499998</v>
      </c>
      <c r="AR68" s="117">
        <f t="shared" si="26"/>
        <v>164554.44843749999</v>
      </c>
      <c r="AS68" s="95">
        <f t="shared" si="27"/>
        <v>35902.78875</v>
      </c>
      <c r="AT68" s="117">
        <f t="shared" si="28"/>
        <v>179513.94375000001</v>
      </c>
      <c r="AU68" s="156">
        <f t="shared" si="33"/>
        <v>44878.485937500001</v>
      </c>
    </row>
    <row r="69" spans="1:49" ht="12.75" x14ac:dyDescent="0.2">
      <c r="A69" s="118">
        <v>4</v>
      </c>
      <c r="B69" s="74" t="s">
        <v>199</v>
      </c>
      <c r="C69" s="74" t="s">
        <v>60</v>
      </c>
      <c r="D69" s="74" t="s">
        <v>132</v>
      </c>
      <c r="E69" s="112" t="s">
        <v>80</v>
      </c>
      <c r="F69" s="112">
        <v>10</v>
      </c>
      <c r="G69" s="118">
        <v>5.08</v>
      </c>
      <c r="H69" s="118">
        <v>17697</v>
      </c>
      <c r="I69" s="194">
        <f t="shared" si="20"/>
        <v>89900.76</v>
      </c>
      <c r="J69" s="198">
        <f t="shared" si="29"/>
        <v>134851.13999999998</v>
      </c>
      <c r="K69" s="200"/>
      <c r="L69" s="118"/>
      <c r="M69" s="118">
        <v>2</v>
      </c>
      <c r="N69" s="95"/>
      <c r="O69" s="114"/>
      <c r="P69" s="94">
        <f t="shared" si="21"/>
        <v>14983.46</v>
      </c>
      <c r="Q69" s="95">
        <f t="shared" si="22"/>
        <v>0</v>
      </c>
      <c r="R69" s="95">
        <f t="shared" si="23"/>
        <v>0</v>
      </c>
      <c r="S69" s="115">
        <f t="shared" si="24"/>
        <v>3745.8649999999998</v>
      </c>
      <c r="T69" s="116">
        <f t="shared" si="25"/>
        <v>1872.9324999999999</v>
      </c>
      <c r="U69" s="95"/>
      <c r="V69" s="95"/>
      <c r="W69" s="95"/>
      <c r="X69" s="95"/>
      <c r="Y69" s="95"/>
      <c r="Z69" s="95"/>
      <c r="AA69" s="95"/>
      <c r="AB69" s="95"/>
      <c r="AC69" s="95"/>
      <c r="AD69" s="95"/>
      <c r="AE69" s="95"/>
      <c r="AF69" s="51">
        <f>(P69+Q69+R69+S69)*40%</f>
        <v>7491.73</v>
      </c>
      <c r="AG69" s="118"/>
      <c r="AH69" s="118"/>
      <c r="AI69" s="113"/>
      <c r="AJ69" s="95"/>
      <c r="AK69" s="95"/>
      <c r="AL69" s="95"/>
      <c r="AM69" s="156">
        <f t="shared" si="30"/>
        <v>5618.7974999999988</v>
      </c>
      <c r="AN69" s="118"/>
      <c r="AO69" s="118"/>
      <c r="AP69" s="116">
        <f t="shared" si="31"/>
        <v>13110.527499999998</v>
      </c>
      <c r="AQ69" s="198">
        <f t="shared" si="32"/>
        <v>33712.784999999996</v>
      </c>
      <c r="AR69" s="117">
        <f t="shared" si="26"/>
        <v>20602.2575</v>
      </c>
      <c r="AS69" s="95">
        <f t="shared" si="27"/>
        <v>33712.784999999996</v>
      </c>
      <c r="AT69" s="117">
        <f t="shared" si="28"/>
        <v>168563.92499999999</v>
      </c>
      <c r="AU69" s="156">
        <f t="shared" si="33"/>
        <v>5618.7974999999988</v>
      </c>
    </row>
    <row r="70" spans="1:49" ht="12.75" x14ac:dyDescent="0.2">
      <c r="A70" s="118">
        <v>5</v>
      </c>
      <c r="B70" s="119" t="s">
        <v>138</v>
      </c>
      <c r="C70" s="82" t="s">
        <v>60</v>
      </c>
      <c r="D70" s="74" t="s">
        <v>139</v>
      </c>
      <c r="E70" s="112" t="s">
        <v>80</v>
      </c>
      <c r="F70" s="112">
        <v>22.02</v>
      </c>
      <c r="G70" s="118">
        <v>5.32</v>
      </c>
      <c r="H70" s="118">
        <v>17697</v>
      </c>
      <c r="I70" s="194">
        <f t="shared" si="20"/>
        <v>94148.040000000008</v>
      </c>
      <c r="J70" s="198">
        <f t="shared" si="29"/>
        <v>141222.06</v>
      </c>
      <c r="K70" s="200"/>
      <c r="L70" s="118"/>
      <c r="M70" s="118">
        <v>3</v>
      </c>
      <c r="N70" s="95"/>
      <c r="O70" s="114"/>
      <c r="P70" s="94">
        <f t="shared" si="21"/>
        <v>23537.010000000002</v>
      </c>
      <c r="Q70" s="95">
        <f t="shared" si="22"/>
        <v>0</v>
      </c>
      <c r="R70" s="95">
        <f t="shared" si="23"/>
        <v>0</v>
      </c>
      <c r="S70" s="115">
        <f t="shared" si="24"/>
        <v>5884.2525000000005</v>
      </c>
      <c r="T70" s="116">
        <f t="shared" si="25"/>
        <v>2942.1262500000007</v>
      </c>
      <c r="U70" s="95"/>
      <c r="V70" s="95"/>
      <c r="W70" s="95"/>
      <c r="X70" s="95"/>
      <c r="Y70" s="95"/>
      <c r="Z70" s="95"/>
      <c r="AA70" s="95"/>
      <c r="AB70" s="95"/>
      <c r="AC70" s="95"/>
      <c r="AD70" s="95"/>
      <c r="AE70" s="95"/>
      <c r="AF70" s="51">
        <f>(P70+Q70+R70+S70)*40%</f>
        <v>11768.505000000003</v>
      </c>
      <c r="AG70" s="118"/>
      <c r="AH70" s="118"/>
      <c r="AI70" s="113"/>
      <c r="AJ70" s="95"/>
      <c r="AK70" s="95"/>
      <c r="AL70" s="95"/>
      <c r="AM70" s="156">
        <f t="shared" si="30"/>
        <v>8826.3787500000017</v>
      </c>
      <c r="AN70" s="118"/>
      <c r="AO70" s="118"/>
      <c r="AP70" s="116">
        <f t="shared" si="31"/>
        <v>20594.883750000005</v>
      </c>
      <c r="AQ70" s="198">
        <f t="shared" si="32"/>
        <v>52958.272500000014</v>
      </c>
      <c r="AR70" s="117">
        <f t="shared" si="26"/>
        <v>32363.388750000009</v>
      </c>
      <c r="AS70" s="95">
        <f t="shared" si="27"/>
        <v>35305.514999999999</v>
      </c>
      <c r="AT70" s="117">
        <f t="shared" si="28"/>
        <v>176527.57500000001</v>
      </c>
      <c r="AU70" s="156">
        <f t="shared" si="33"/>
        <v>8826.3787500000017</v>
      </c>
    </row>
    <row r="71" spans="1:49" ht="12.75" x14ac:dyDescent="0.2">
      <c r="A71" s="118">
        <v>6</v>
      </c>
      <c r="B71" s="119" t="s">
        <v>140</v>
      </c>
      <c r="C71" s="74" t="s">
        <v>60</v>
      </c>
      <c r="D71" s="119" t="s">
        <v>131</v>
      </c>
      <c r="E71" s="112" t="s">
        <v>80</v>
      </c>
      <c r="F71" s="112">
        <v>22</v>
      </c>
      <c r="G71" s="118">
        <v>5.32</v>
      </c>
      <c r="H71" s="118">
        <v>17697</v>
      </c>
      <c r="I71" s="197">
        <f t="shared" si="20"/>
        <v>94148.040000000008</v>
      </c>
      <c r="J71" s="198">
        <f t="shared" si="29"/>
        <v>141222.06</v>
      </c>
      <c r="K71" s="200"/>
      <c r="L71" s="118"/>
      <c r="M71" s="118">
        <v>3</v>
      </c>
      <c r="N71" s="95"/>
      <c r="O71" s="114"/>
      <c r="P71" s="94">
        <f t="shared" si="21"/>
        <v>23537.010000000002</v>
      </c>
      <c r="Q71" s="95">
        <f t="shared" si="22"/>
        <v>0</v>
      </c>
      <c r="R71" s="95">
        <f t="shared" si="23"/>
        <v>0</v>
      </c>
      <c r="S71" s="115">
        <f t="shared" si="24"/>
        <v>5884.2525000000005</v>
      </c>
      <c r="T71" s="116">
        <f t="shared" si="25"/>
        <v>2942.1262500000007</v>
      </c>
      <c r="U71" s="95"/>
      <c r="V71" s="95"/>
      <c r="W71" s="95"/>
      <c r="X71" s="95"/>
      <c r="Y71" s="95"/>
      <c r="Z71" s="95"/>
      <c r="AA71" s="95"/>
      <c r="AB71" s="95"/>
      <c r="AC71" s="95"/>
      <c r="AD71" s="95"/>
      <c r="AE71" s="95"/>
      <c r="AF71" s="51">
        <f>(P71+Q71+R71+S71)*40%</f>
        <v>11768.505000000003</v>
      </c>
      <c r="AG71" s="118"/>
      <c r="AH71" s="118"/>
      <c r="AI71" s="113"/>
      <c r="AJ71" s="95"/>
      <c r="AK71" s="95"/>
      <c r="AL71" s="95"/>
      <c r="AM71" s="156">
        <f t="shared" si="30"/>
        <v>8826.3787500000017</v>
      </c>
      <c r="AN71" s="95"/>
      <c r="AO71" s="95"/>
      <c r="AP71" s="116">
        <f t="shared" si="31"/>
        <v>20594.883750000005</v>
      </c>
      <c r="AQ71" s="198">
        <f t="shared" si="32"/>
        <v>52958.272500000014</v>
      </c>
      <c r="AR71" s="117">
        <f t="shared" si="26"/>
        <v>32363.388750000009</v>
      </c>
      <c r="AS71" s="95">
        <f t="shared" si="27"/>
        <v>35305.514999999999</v>
      </c>
      <c r="AT71" s="117">
        <f t="shared" si="28"/>
        <v>176527.57500000001</v>
      </c>
      <c r="AU71" s="156">
        <f t="shared" si="33"/>
        <v>8826.3787500000017</v>
      </c>
    </row>
    <row r="72" spans="1:49" ht="12.75" x14ac:dyDescent="0.2">
      <c r="A72" s="118">
        <v>7</v>
      </c>
      <c r="B72" s="74" t="s">
        <v>141</v>
      </c>
      <c r="C72" s="74" t="s">
        <v>60</v>
      </c>
      <c r="D72" s="74" t="s">
        <v>139</v>
      </c>
      <c r="E72" s="112" t="s">
        <v>81</v>
      </c>
      <c r="F72" s="112">
        <v>14</v>
      </c>
      <c r="G72" s="118">
        <v>4.95</v>
      </c>
      <c r="H72" s="118">
        <v>17697</v>
      </c>
      <c r="I72" s="197">
        <f t="shared" ref="I72:I85" si="34">G72*H72</f>
        <v>87600.150000000009</v>
      </c>
      <c r="J72" s="198">
        <f t="shared" si="29"/>
        <v>131400.22500000001</v>
      </c>
      <c r="K72" s="200"/>
      <c r="L72" s="118"/>
      <c r="M72" s="118">
        <v>3</v>
      </c>
      <c r="N72" s="95"/>
      <c r="O72" s="114"/>
      <c r="P72" s="94">
        <f t="shared" si="21"/>
        <v>21900.037500000002</v>
      </c>
      <c r="Q72" s="95">
        <f t="shared" si="22"/>
        <v>0</v>
      </c>
      <c r="R72" s="95">
        <f t="shared" si="23"/>
        <v>0</v>
      </c>
      <c r="S72" s="115">
        <f t="shared" si="24"/>
        <v>5475.0093750000005</v>
      </c>
      <c r="T72" s="116">
        <f t="shared" si="25"/>
        <v>2737.5046875000007</v>
      </c>
      <c r="U72" s="95"/>
      <c r="V72" s="95"/>
      <c r="W72" s="95"/>
      <c r="X72" s="95"/>
      <c r="Y72" s="95"/>
      <c r="Z72" s="95"/>
      <c r="AA72" s="95"/>
      <c r="AB72" s="95"/>
      <c r="AC72" s="95"/>
      <c r="AD72" s="95"/>
      <c r="AE72" s="95"/>
      <c r="AF72" s="51">
        <v>0</v>
      </c>
      <c r="AG72" s="51">
        <f>(Q72+R72+S72+P72)*35%</f>
        <v>9581.2664062500007</v>
      </c>
      <c r="AH72" s="51">
        <v>0</v>
      </c>
      <c r="AI72" s="113"/>
      <c r="AJ72" s="95"/>
      <c r="AK72" s="95"/>
      <c r="AL72" s="95"/>
      <c r="AM72" s="156">
        <f t="shared" si="30"/>
        <v>8212.5140625000004</v>
      </c>
      <c r="AN72" s="95"/>
      <c r="AO72" s="95"/>
      <c r="AP72" s="116">
        <f t="shared" si="31"/>
        <v>17793.780468750003</v>
      </c>
      <c r="AQ72" s="198">
        <f t="shared" si="32"/>
        <v>47906.332031250007</v>
      </c>
      <c r="AR72" s="117">
        <f t="shared" si="26"/>
        <v>30112.551562500004</v>
      </c>
      <c r="AS72" s="95">
        <f t="shared" si="27"/>
        <v>32850.056250000001</v>
      </c>
      <c r="AT72" s="117">
        <f t="shared" si="28"/>
        <v>164250.28125</v>
      </c>
      <c r="AU72" s="156">
        <f t="shared" si="33"/>
        <v>8212.5140625000004</v>
      </c>
    </row>
    <row r="73" spans="1:49" ht="12.75" x14ac:dyDescent="0.2">
      <c r="A73" s="118">
        <v>8</v>
      </c>
      <c r="B73" s="74" t="s">
        <v>142</v>
      </c>
      <c r="C73" s="74" t="s">
        <v>60</v>
      </c>
      <c r="D73" s="74" t="s">
        <v>139</v>
      </c>
      <c r="E73" s="112" t="s">
        <v>80</v>
      </c>
      <c r="F73" s="112">
        <v>9</v>
      </c>
      <c r="G73" s="118">
        <v>5.01</v>
      </c>
      <c r="H73" s="118">
        <v>17697</v>
      </c>
      <c r="I73" s="197">
        <f t="shared" si="34"/>
        <v>88661.97</v>
      </c>
      <c r="J73" s="198">
        <f t="shared" si="29"/>
        <v>132992.95500000002</v>
      </c>
      <c r="K73" s="200"/>
      <c r="L73" s="118"/>
      <c r="M73" s="118">
        <v>3</v>
      </c>
      <c r="N73" s="95"/>
      <c r="O73" s="114"/>
      <c r="P73" s="94">
        <f t="shared" si="21"/>
        <v>22165.492500000004</v>
      </c>
      <c r="Q73" s="95">
        <f t="shared" si="22"/>
        <v>0</v>
      </c>
      <c r="R73" s="95">
        <f t="shared" si="23"/>
        <v>0</v>
      </c>
      <c r="S73" s="115">
        <f t="shared" si="24"/>
        <v>5541.373125000001</v>
      </c>
      <c r="T73" s="116">
        <f t="shared" si="25"/>
        <v>2770.6865625000009</v>
      </c>
      <c r="U73" s="95"/>
      <c r="V73" s="95"/>
      <c r="W73" s="95"/>
      <c r="X73" s="95"/>
      <c r="Y73" s="95"/>
      <c r="Z73" s="95"/>
      <c r="AA73" s="95"/>
      <c r="AB73" s="95"/>
      <c r="AC73" s="95"/>
      <c r="AD73" s="95"/>
      <c r="AE73" s="95"/>
      <c r="AF73" s="51">
        <f>(P73+Q73+R73+S73)*40%</f>
        <v>11082.746250000004</v>
      </c>
      <c r="AG73" s="51"/>
      <c r="AH73" s="51">
        <v>0</v>
      </c>
      <c r="AI73" s="113"/>
      <c r="AJ73" s="95"/>
      <c r="AK73" s="95"/>
      <c r="AL73" s="95"/>
      <c r="AM73" s="156">
        <f t="shared" si="30"/>
        <v>8312.059687500001</v>
      </c>
      <c r="AN73" s="95"/>
      <c r="AO73" s="95"/>
      <c r="AP73" s="116">
        <f t="shared" si="31"/>
        <v>19394.805937500005</v>
      </c>
      <c r="AQ73" s="198">
        <f t="shared" si="32"/>
        <v>49872.358125000013</v>
      </c>
      <c r="AR73" s="117">
        <f t="shared" si="26"/>
        <v>30477.552187500009</v>
      </c>
      <c r="AS73" s="95">
        <f t="shared" si="27"/>
        <v>33248.238750000004</v>
      </c>
      <c r="AT73" s="117">
        <f t="shared" si="28"/>
        <v>166241.19375000003</v>
      </c>
      <c r="AU73" s="156">
        <f t="shared" si="33"/>
        <v>8312.059687500001</v>
      </c>
    </row>
    <row r="74" spans="1:49" ht="12.75" x14ac:dyDescent="0.2">
      <c r="A74" s="118">
        <v>9</v>
      </c>
      <c r="B74" s="112" t="s">
        <v>144</v>
      </c>
      <c r="C74" s="112" t="s">
        <v>60</v>
      </c>
      <c r="D74" s="112" t="s">
        <v>109</v>
      </c>
      <c r="E74" s="112" t="s">
        <v>81</v>
      </c>
      <c r="F74" s="112">
        <v>17</v>
      </c>
      <c r="G74" s="118">
        <v>5.03</v>
      </c>
      <c r="H74" s="118">
        <v>17697</v>
      </c>
      <c r="I74" s="197">
        <f t="shared" si="34"/>
        <v>89015.91</v>
      </c>
      <c r="J74" s="198">
        <f t="shared" si="29"/>
        <v>133523.86499999999</v>
      </c>
      <c r="K74" s="200"/>
      <c r="L74" s="118"/>
      <c r="M74" s="118">
        <v>16</v>
      </c>
      <c r="N74" s="95"/>
      <c r="O74" s="114"/>
      <c r="P74" s="94">
        <f t="shared" si="21"/>
        <v>118687.87999999999</v>
      </c>
      <c r="Q74" s="95">
        <f t="shared" si="22"/>
        <v>0</v>
      </c>
      <c r="R74" s="95">
        <f t="shared" si="23"/>
        <v>0</v>
      </c>
      <c r="S74" s="115">
        <f t="shared" si="24"/>
        <v>29671.969999999998</v>
      </c>
      <c r="T74" s="116">
        <f t="shared" si="25"/>
        <v>14835.984999999999</v>
      </c>
      <c r="U74" s="95"/>
      <c r="V74" s="95"/>
      <c r="W74" s="95"/>
      <c r="X74" s="95"/>
      <c r="Y74" s="95"/>
      <c r="Z74" s="95"/>
      <c r="AA74" s="95"/>
      <c r="AB74" s="95"/>
      <c r="AC74" s="95"/>
      <c r="AD74" s="95"/>
      <c r="AE74" s="95"/>
      <c r="AF74" s="51">
        <v>0</v>
      </c>
      <c r="AG74" s="51">
        <f>(Q74+R74+S74+P74)*35%</f>
        <v>51925.947499999987</v>
      </c>
      <c r="AH74" s="51">
        <v>0</v>
      </c>
      <c r="AI74" s="113"/>
      <c r="AJ74" s="95"/>
      <c r="AK74" s="95"/>
      <c r="AL74" s="95"/>
      <c r="AM74" s="156">
        <f t="shared" si="30"/>
        <v>44507.954999999994</v>
      </c>
      <c r="AN74" s="95"/>
      <c r="AO74" s="95"/>
      <c r="AP74" s="116">
        <f t="shared" si="31"/>
        <v>96433.902499999982</v>
      </c>
      <c r="AQ74" s="198">
        <f t="shared" si="32"/>
        <v>259629.73749999993</v>
      </c>
      <c r="AR74" s="117">
        <f t="shared" si="26"/>
        <v>163195.83499999996</v>
      </c>
      <c r="AS74" s="95">
        <f t="shared" si="27"/>
        <v>33380.966249999998</v>
      </c>
      <c r="AT74" s="117">
        <f t="shared" si="28"/>
        <v>166904.83124999999</v>
      </c>
      <c r="AU74" s="156">
        <f t="shared" si="33"/>
        <v>44507.954999999994</v>
      </c>
    </row>
    <row r="75" spans="1:49" ht="12.75" x14ac:dyDescent="0.2">
      <c r="A75" s="118">
        <v>10</v>
      </c>
      <c r="B75" s="112" t="s">
        <v>146</v>
      </c>
      <c r="C75" s="112" t="s">
        <v>60</v>
      </c>
      <c r="D75" s="112" t="s">
        <v>139</v>
      </c>
      <c r="E75" s="112" t="s">
        <v>80</v>
      </c>
      <c r="F75" s="112">
        <v>11.06</v>
      </c>
      <c r="G75" s="118">
        <v>5.08</v>
      </c>
      <c r="H75" s="118">
        <v>17697</v>
      </c>
      <c r="I75" s="197">
        <f t="shared" si="34"/>
        <v>89900.76</v>
      </c>
      <c r="J75" s="198">
        <f t="shared" si="29"/>
        <v>134851.13999999998</v>
      </c>
      <c r="K75" s="200"/>
      <c r="L75" s="118"/>
      <c r="M75" s="118">
        <v>3</v>
      </c>
      <c r="N75" s="95"/>
      <c r="O75" s="114"/>
      <c r="P75" s="94">
        <f t="shared" si="21"/>
        <v>22475.19</v>
      </c>
      <c r="Q75" s="95">
        <f t="shared" si="22"/>
        <v>0</v>
      </c>
      <c r="R75" s="95">
        <f t="shared" si="23"/>
        <v>0</v>
      </c>
      <c r="S75" s="115">
        <f t="shared" si="24"/>
        <v>5618.7974999999997</v>
      </c>
      <c r="T75" s="116">
        <f t="shared" si="25"/>
        <v>2809.3987500000003</v>
      </c>
      <c r="U75" s="95"/>
      <c r="V75" s="95"/>
      <c r="W75" s="95"/>
      <c r="X75" s="95"/>
      <c r="Y75" s="95"/>
      <c r="Z75" s="95"/>
      <c r="AA75" s="95"/>
      <c r="AB75" s="95"/>
      <c r="AC75" s="95"/>
      <c r="AD75" s="95"/>
      <c r="AE75" s="95"/>
      <c r="AF75" s="51">
        <f>(P75+Q75+R75+S75)*40%</f>
        <v>11237.595000000001</v>
      </c>
      <c r="AG75" s="51">
        <v>0</v>
      </c>
      <c r="AH75" s="51">
        <v>0</v>
      </c>
      <c r="AI75" s="113"/>
      <c r="AJ75" s="95"/>
      <c r="AK75" s="95"/>
      <c r="AL75" s="95"/>
      <c r="AM75" s="156">
        <f t="shared" si="30"/>
        <v>8428.1962499999991</v>
      </c>
      <c r="AN75" s="95"/>
      <c r="AO75" s="95"/>
      <c r="AP75" s="116">
        <f t="shared" si="31"/>
        <v>19665.791250000002</v>
      </c>
      <c r="AQ75" s="198">
        <f t="shared" si="32"/>
        <v>50569.177499999998</v>
      </c>
      <c r="AR75" s="117">
        <f t="shared" si="26"/>
        <v>30903.386249999996</v>
      </c>
      <c r="AS75" s="95">
        <f t="shared" si="27"/>
        <v>33712.784999999996</v>
      </c>
      <c r="AT75" s="117">
        <f t="shared" si="28"/>
        <v>168563.92499999999</v>
      </c>
      <c r="AU75" s="156">
        <f t="shared" si="33"/>
        <v>8428.1962499999991</v>
      </c>
    </row>
    <row r="76" spans="1:49" ht="12.75" x14ac:dyDescent="0.2">
      <c r="A76" s="118">
        <v>11</v>
      </c>
      <c r="B76" s="112" t="s">
        <v>143</v>
      </c>
      <c r="C76" s="112" t="s">
        <v>60</v>
      </c>
      <c r="D76" s="112" t="s">
        <v>108</v>
      </c>
      <c r="E76" s="112" t="s">
        <v>82</v>
      </c>
      <c r="F76" s="112">
        <v>14.07</v>
      </c>
      <c r="G76" s="118">
        <v>4.9000000000000004</v>
      </c>
      <c r="H76" s="118">
        <v>17697</v>
      </c>
      <c r="I76" s="197">
        <f t="shared" si="34"/>
        <v>86715.3</v>
      </c>
      <c r="J76" s="198">
        <f t="shared" si="29"/>
        <v>130072.95000000001</v>
      </c>
      <c r="K76" s="200"/>
      <c r="L76" s="118"/>
      <c r="M76" s="118">
        <v>3</v>
      </c>
      <c r="N76" s="95"/>
      <c r="O76" s="114"/>
      <c r="P76" s="94">
        <f t="shared" si="21"/>
        <v>21678.825000000001</v>
      </c>
      <c r="Q76" s="95">
        <f t="shared" si="22"/>
        <v>0</v>
      </c>
      <c r="R76" s="95">
        <f t="shared" si="23"/>
        <v>0</v>
      </c>
      <c r="S76" s="115">
        <f t="shared" si="24"/>
        <v>5419.7062500000002</v>
      </c>
      <c r="T76" s="116">
        <f t="shared" si="25"/>
        <v>2709.8531250000001</v>
      </c>
      <c r="U76" s="95"/>
      <c r="V76" s="95"/>
      <c r="W76" s="95"/>
      <c r="X76" s="95"/>
      <c r="Y76" s="95"/>
      <c r="Z76" s="95"/>
      <c r="AA76" s="95"/>
      <c r="AB76" s="95"/>
      <c r="AC76" s="95"/>
      <c r="AD76" s="95"/>
      <c r="AE76" s="95"/>
      <c r="AF76" s="51">
        <v>0</v>
      </c>
      <c r="AG76" s="51">
        <v>0</v>
      </c>
      <c r="AH76" s="51">
        <v>0</v>
      </c>
      <c r="AI76" s="113"/>
      <c r="AJ76" s="95"/>
      <c r="AK76" s="95"/>
      <c r="AL76" s="95"/>
      <c r="AM76" s="156">
        <f t="shared" si="30"/>
        <v>8129.5593749999998</v>
      </c>
      <c r="AN76" s="95"/>
      <c r="AO76" s="95"/>
      <c r="AP76" s="116">
        <f t="shared" si="31"/>
        <v>8129.5593749999998</v>
      </c>
      <c r="AQ76" s="198">
        <f t="shared" si="32"/>
        <v>37937.943749999999</v>
      </c>
      <c r="AR76" s="117">
        <f t="shared" si="26"/>
        <v>29808.384374999998</v>
      </c>
      <c r="AS76" s="95">
        <f t="shared" si="27"/>
        <v>32518.237500000003</v>
      </c>
      <c r="AT76" s="117">
        <f t="shared" si="28"/>
        <v>162591.1875</v>
      </c>
      <c r="AU76" s="156">
        <f t="shared" si="33"/>
        <v>8129.5593749999998</v>
      </c>
    </row>
    <row r="77" spans="1:49" ht="12.75" x14ac:dyDescent="0.2">
      <c r="A77" s="118">
        <v>12</v>
      </c>
      <c r="B77" s="112" t="s">
        <v>145</v>
      </c>
      <c r="C77" s="112" t="s">
        <v>60</v>
      </c>
      <c r="D77" s="112" t="s">
        <v>139</v>
      </c>
      <c r="E77" s="112" t="s">
        <v>91</v>
      </c>
      <c r="F77" s="112">
        <v>7.11</v>
      </c>
      <c r="G77" s="118">
        <v>4.33</v>
      </c>
      <c r="H77" s="118">
        <v>17697</v>
      </c>
      <c r="I77" s="197">
        <f t="shared" si="34"/>
        <v>76628.009999999995</v>
      </c>
      <c r="J77" s="198">
        <f t="shared" si="29"/>
        <v>114942.01499999998</v>
      </c>
      <c r="K77" s="200"/>
      <c r="L77" s="118"/>
      <c r="M77" s="118">
        <v>3</v>
      </c>
      <c r="N77" s="95"/>
      <c r="O77" s="114"/>
      <c r="P77" s="94">
        <f t="shared" si="21"/>
        <v>19157.002499999999</v>
      </c>
      <c r="Q77" s="95">
        <f t="shared" si="22"/>
        <v>0</v>
      </c>
      <c r="R77" s="95">
        <f t="shared" si="23"/>
        <v>0</v>
      </c>
      <c r="S77" s="115">
        <f t="shared" si="24"/>
        <v>4789.2506249999997</v>
      </c>
      <c r="T77" s="116">
        <f t="shared" si="25"/>
        <v>2394.6253124999998</v>
      </c>
      <c r="U77" s="95"/>
      <c r="V77" s="95"/>
      <c r="W77" s="95"/>
      <c r="X77" s="95"/>
      <c r="Y77" s="95"/>
      <c r="Z77" s="95"/>
      <c r="AA77" s="95"/>
      <c r="AB77" s="95"/>
      <c r="AC77" s="95"/>
      <c r="AD77" s="95"/>
      <c r="AE77" s="95"/>
      <c r="AF77" s="51">
        <v>0</v>
      </c>
      <c r="AG77" s="51">
        <v>0</v>
      </c>
      <c r="AH77" s="51">
        <f t="shared" ref="AH77:AH88" si="35">(R77+S77+Q77+P77)*30%</f>
        <v>7183.8759375</v>
      </c>
      <c r="AI77" s="113"/>
      <c r="AJ77" s="95"/>
      <c r="AK77" s="95"/>
      <c r="AL77" s="95"/>
      <c r="AM77" s="156">
        <f t="shared" si="30"/>
        <v>7183.8759375</v>
      </c>
      <c r="AN77" s="95"/>
      <c r="AO77" s="95"/>
      <c r="AP77" s="116">
        <f t="shared" si="31"/>
        <v>14367.751875</v>
      </c>
      <c r="AQ77" s="198">
        <f>P77+Q77+R77+S77+T77+X77+Y77+Z77+AA77+AB77+AC77+AD77+AE77+AF77+AG77+AH77+AI77+AJ77+AK77+AM77+AN77+AO77+L77</f>
        <v>40708.630312499998</v>
      </c>
      <c r="AR77" s="117">
        <f t="shared" si="26"/>
        <v>26340.878437499996</v>
      </c>
      <c r="AS77" s="95">
        <f t="shared" si="27"/>
        <v>28735.503749999996</v>
      </c>
      <c r="AT77" s="117">
        <f t="shared" si="28"/>
        <v>143677.51874999999</v>
      </c>
      <c r="AU77" s="156">
        <f t="shared" si="33"/>
        <v>7183.8759375</v>
      </c>
    </row>
    <row r="78" spans="1:49" ht="12.75" x14ac:dyDescent="0.2">
      <c r="A78" s="118">
        <v>13</v>
      </c>
      <c r="B78" s="112" t="s">
        <v>147</v>
      </c>
      <c r="C78" s="112" t="s">
        <v>60</v>
      </c>
      <c r="D78" s="112" t="s">
        <v>108</v>
      </c>
      <c r="E78" s="112" t="s">
        <v>82</v>
      </c>
      <c r="F78" s="112">
        <v>3.03</v>
      </c>
      <c r="G78" s="118">
        <v>4.59</v>
      </c>
      <c r="H78" s="118">
        <v>17697</v>
      </c>
      <c r="I78" s="197">
        <f t="shared" si="34"/>
        <v>81229.23</v>
      </c>
      <c r="J78" s="198">
        <f t="shared" si="29"/>
        <v>121843.845</v>
      </c>
      <c r="K78" s="200"/>
      <c r="L78" s="118"/>
      <c r="M78" s="118">
        <v>7</v>
      </c>
      <c r="N78" s="95"/>
      <c r="O78" s="114"/>
      <c r="P78" s="94">
        <f t="shared" si="21"/>
        <v>47383.717499999999</v>
      </c>
      <c r="Q78" s="95">
        <f t="shared" si="22"/>
        <v>0</v>
      </c>
      <c r="R78" s="95">
        <f t="shared" si="23"/>
        <v>0</v>
      </c>
      <c r="S78" s="115">
        <f t="shared" si="24"/>
        <v>11845.929375</v>
      </c>
      <c r="T78" s="116">
        <f t="shared" si="25"/>
        <v>5922.9646874999999</v>
      </c>
      <c r="U78" s="95"/>
      <c r="V78" s="95"/>
      <c r="W78" s="95"/>
      <c r="X78" s="95"/>
      <c r="Y78" s="95"/>
      <c r="Z78" s="95"/>
      <c r="AA78" s="95"/>
      <c r="AB78" s="95"/>
      <c r="AC78" s="95"/>
      <c r="AD78" s="95"/>
      <c r="AE78" s="95"/>
      <c r="AF78" s="51">
        <v>0</v>
      </c>
      <c r="AG78" s="51">
        <v>0</v>
      </c>
      <c r="AH78" s="51">
        <f t="shared" si="35"/>
        <v>17768.8940625</v>
      </c>
      <c r="AI78" s="113"/>
      <c r="AJ78" s="95"/>
      <c r="AK78" s="95"/>
      <c r="AL78" s="95"/>
      <c r="AM78" s="156">
        <f t="shared" si="30"/>
        <v>17768.894062499996</v>
      </c>
      <c r="AN78" s="95"/>
      <c r="AO78" s="95"/>
      <c r="AP78" s="116">
        <f t="shared" si="31"/>
        <v>35537.788124999992</v>
      </c>
      <c r="AQ78" s="198">
        <f t="shared" si="32"/>
        <v>100690.39968749999</v>
      </c>
      <c r="AR78" s="117">
        <f t="shared" si="26"/>
        <v>65152.611562499995</v>
      </c>
      <c r="AS78" s="95">
        <f t="shared" si="27"/>
        <v>30460.96125</v>
      </c>
      <c r="AT78" s="117">
        <f t="shared" si="28"/>
        <v>152304.80624999999</v>
      </c>
      <c r="AU78" s="156">
        <f t="shared" si="33"/>
        <v>17768.894062499996</v>
      </c>
    </row>
    <row r="79" spans="1:49" ht="12.75" x14ac:dyDescent="0.2">
      <c r="A79" s="118">
        <v>14</v>
      </c>
      <c r="B79" s="112" t="s">
        <v>148</v>
      </c>
      <c r="C79" s="112" t="s">
        <v>60</v>
      </c>
      <c r="D79" s="112" t="s">
        <v>109</v>
      </c>
      <c r="E79" s="112" t="s">
        <v>82</v>
      </c>
      <c r="F79" s="112">
        <v>10.01</v>
      </c>
      <c r="G79" s="118">
        <v>4.8099999999999996</v>
      </c>
      <c r="H79" s="118">
        <v>17697</v>
      </c>
      <c r="I79" s="197">
        <f t="shared" si="34"/>
        <v>85122.569999999992</v>
      </c>
      <c r="J79" s="198">
        <f t="shared" si="29"/>
        <v>127683.85499999998</v>
      </c>
      <c r="K79" s="200"/>
      <c r="L79" s="118"/>
      <c r="M79" s="118">
        <v>17</v>
      </c>
      <c r="N79" s="95"/>
      <c r="O79" s="114"/>
      <c r="P79" s="94">
        <f t="shared" si="21"/>
        <v>120590.30749999998</v>
      </c>
      <c r="Q79" s="95">
        <f t="shared" si="22"/>
        <v>0</v>
      </c>
      <c r="R79" s="95">
        <f t="shared" si="23"/>
        <v>0</v>
      </c>
      <c r="S79" s="115">
        <f t="shared" si="24"/>
        <v>30147.576874999995</v>
      </c>
      <c r="T79" s="116">
        <f t="shared" si="25"/>
        <v>15073.788437499998</v>
      </c>
      <c r="U79" s="95"/>
      <c r="V79" s="95"/>
      <c r="W79" s="95"/>
      <c r="X79" s="95"/>
      <c r="Y79" s="95"/>
      <c r="Z79" s="95"/>
      <c r="AA79" s="95"/>
      <c r="AB79" s="95"/>
      <c r="AC79" s="95"/>
      <c r="AD79" s="95"/>
      <c r="AE79" s="95"/>
      <c r="AF79" s="51">
        <v>0</v>
      </c>
      <c r="AG79" s="51">
        <v>0</v>
      </c>
      <c r="AH79" s="51">
        <f t="shared" si="35"/>
        <v>45221.365312499991</v>
      </c>
      <c r="AI79" s="113"/>
      <c r="AJ79" s="95"/>
      <c r="AK79" s="95"/>
      <c r="AL79" s="95"/>
      <c r="AM79" s="156">
        <f t="shared" si="30"/>
        <v>45221.365312499998</v>
      </c>
      <c r="AN79" s="95"/>
      <c r="AO79" s="95"/>
      <c r="AP79" s="116">
        <f t="shared" si="31"/>
        <v>90442.730624999997</v>
      </c>
      <c r="AQ79" s="198">
        <f t="shared" si="32"/>
        <v>256254.40343749995</v>
      </c>
      <c r="AR79" s="117">
        <f t="shared" si="26"/>
        <v>165811.67281249995</v>
      </c>
      <c r="AS79" s="95">
        <f t="shared" si="27"/>
        <v>31920.963749999995</v>
      </c>
      <c r="AT79" s="117">
        <f t="shared" si="28"/>
        <v>159604.81874999998</v>
      </c>
      <c r="AU79" s="156">
        <f t="shared" si="33"/>
        <v>45221.365312499998</v>
      </c>
    </row>
    <row r="80" spans="1:49" ht="12.75" x14ac:dyDescent="0.2">
      <c r="A80" s="118">
        <v>15</v>
      </c>
      <c r="B80" s="112" t="s">
        <v>149</v>
      </c>
      <c r="C80" s="112" t="s">
        <v>63</v>
      </c>
      <c r="D80" s="112" t="s">
        <v>109</v>
      </c>
      <c r="E80" s="112" t="s">
        <v>83</v>
      </c>
      <c r="F80" s="112">
        <v>14.07</v>
      </c>
      <c r="G80" s="118">
        <v>4.17</v>
      </c>
      <c r="H80" s="118">
        <v>17697</v>
      </c>
      <c r="I80" s="197">
        <f t="shared" si="34"/>
        <v>73796.490000000005</v>
      </c>
      <c r="J80" s="198">
        <f t="shared" si="29"/>
        <v>110694.73500000002</v>
      </c>
      <c r="K80" s="200"/>
      <c r="L80" s="118"/>
      <c r="M80" s="118">
        <v>17</v>
      </c>
      <c r="N80" s="95"/>
      <c r="O80" s="114"/>
      <c r="P80" s="94">
        <f t="shared" si="21"/>
        <v>104545.02750000001</v>
      </c>
      <c r="Q80" s="95">
        <f t="shared" si="22"/>
        <v>0</v>
      </c>
      <c r="R80" s="95">
        <f t="shared" si="23"/>
        <v>0</v>
      </c>
      <c r="S80" s="115">
        <f t="shared" si="24"/>
        <v>26136.256875000003</v>
      </c>
      <c r="T80" s="116">
        <f t="shared" si="25"/>
        <v>13068.128437500003</v>
      </c>
      <c r="U80" s="95"/>
      <c r="V80" s="95"/>
      <c r="W80" s="95"/>
      <c r="X80" s="95"/>
      <c r="Y80" s="95"/>
      <c r="Z80" s="95"/>
      <c r="AA80" s="95"/>
      <c r="AB80" s="95"/>
      <c r="AC80" s="95"/>
      <c r="AD80" s="95"/>
      <c r="AE80" s="95"/>
      <c r="AF80" s="51">
        <v>0</v>
      </c>
      <c r="AG80" s="51">
        <f>(P80+Q80+R80+S80)*35%</f>
        <v>45738.44953125</v>
      </c>
      <c r="AH80" s="51"/>
      <c r="AI80" s="113"/>
      <c r="AJ80" s="95"/>
      <c r="AK80" s="95"/>
      <c r="AL80" s="95"/>
      <c r="AM80" s="156">
        <f t="shared" si="30"/>
        <v>39204.385312500002</v>
      </c>
      <c r="AN80" s="95"/>
      <c r="AO80" s="95"/>
      <c r="AP80" s="116">
        <f t="shared" si="31"/>
        <v>84942.834843749995</v>
      </c>
      <c r="AQ80" s="198">
        <f t="shared" si="32"/>
        <v>228692.24765625002</v>
      </c>
      <c r="AR80" s="117">
        <f t="shared" si="26"/>
        <v>143749.41281250003</v>
      </c>
      <c r="AS80" s="95">
        <f t="shared" si="27"/>
        <v>27673.683750000004</v>
      </c>
      <c r="AT80" s="117">
        <f t="shared" si="28"/>
        <v>138368.41875000001</v>
      </c>
      <c r="AU80" s="156">
        <f t="shared" si="33"/>
        <v>39204.385312500002</v>
      </c>
    </row>
    <row r="81" spans="1:48" ht="12.75" x14ac:dyDescent="0.2">
      <c r="A81" s="118">
        <v>16</v>
      </c>
      <c r="B81" s="112" t="s">
        <v>150</v>
      </c>
      <c r="C81" s="112" t="s">
        <v>63</v>
      </c>
      <c r="D81" s="112" t="s">
        <v>132</v>
      </c>
      <c r="E81" s="112" t="s">
        <v>84</v>
      </c>
      <c r="F81" s="112">
        <v>10</v>
      </c>
      <c r="G81" s="118">
        <v>3.57</v>
      </c>
      <c r="H81" s="118">
        <v>17697</v>
      </c>
      <c r="I81" s="197">
        <f t="shared" si="34"/>
        <v>63178.289999999994</v>
      </c>
      <c r="J81" s="198">
        <f t="shared" si="29"/>
        <v>94767.434999999998</v>
      </c>
      <c r="K81" s="200"/>
      <c r="L81" s="118"/>
      <c r="M81" s="118">
        <v>2</v>
      </c>
      <c r="N81" s="95"/>
      <c r="O81" s="114"/>
      <c r="P81" s="94">
        <f t="shared" si="21"/>
        <v>10529.715</v>
      </c>
      <c r="Q81" s="95">
        <f t="shared" si="22"/>
        <v>0</v>
      </c>
      <c r="R81" s="95">
        <f t="shared" si="23"/>
        <v>0</v>
      </c>
      <c r="S81" s="115">
        <f t="shared" si="24"/>
        <v>2632.42875</v>
      </c>
      <c r="T81" s="116">
        <f t="shared" si="25"/>
        <v>1316.214375</v>
      </c>
      <c r="U81" s="95"/>
      <c r="V81" s="95"/>
      <c r="W81" s="95"/>
      <c r="X81" s="95"/>
      <c r="Y81" s="95"/>
      <c r="Z81" s="95"/>
      <c r="AA81" s="95"/>
      <c r="AB81" s="95"/>
      <c r="AC81" s="95"/>
      <c r="AD81" s="95"/>
      <c r="AE81" s="95"/>
      <c r="AF81" s="51">
        <v>0</v>
      </c>
      <c r="AG81" s="51"/>
      <c r="AH81" s="51"/>
      <c r="AI81" s="113"/>
      <c r="AJ81" s="95"/>
      <c r="AK81" s="95"/>
      <c r="AL81" s="95"/>
      <c r="AM81" s="156">
        <f t="shared" si="30"/>
        <v>3948.6431249999996</v>
      </c>
      <c r="AN81" s="95"/>
      <c r="AO81" s="95"/>
      <c r="AP81" s="116">
        <f t="shared" si="31"/>
        <v>3948.6431249999996</v>
      </c>
      <c r="AQ81" s="198">
        <f t="shared" si="32"/>
        <v>18427.001249999998</v>
      </c>
      <c r="AR81" s="117">
        <f t="shared" si="26"/>
        <v>14478.358124999999</v>
      </c>
      <c r="AS81" s="95">
        <f t="shared" si="27"/>
        <v>23691.858749999999</v>
      </c>
      <c r="AT81" s="117">
        <f t="shared" si="28"/>
        <v>118459.29375</v>
      </c>
      <c r="AU81" s="156">
        <f t="shared" si="33"/>
        <v>3948.6431249999996</v>
      </c>
    </row>
    <row r="82" spans="1:48" ht="12.75" x14ac:dyDescent="0.2">
      <c r="A82" s="118">
        <v>17</v>
      </c>
      <c r="B82" s="112" t="s">
        <v>151</v>
      </c>
      <c r="C82" s="112" t="s">
        <v>63</v>
      </c>
      <c r="D82" s="112" t="s">
        <v>139</v>
      </c>
      <c r="E82" s="112" t="s">
        <v>83</v>
      </c>
      <c r="F82" s="112">
        <v>5.04</v>
      </c>
      <c r="G82" s="118">
        <v>3.97</v>
      </c>
      <c r="H82" s="118">
        <v>17697</v>
      </c>
      <c r="I82" s="197">
        <f t="shared" si="34"/>
        <v>70257.09</v>
      </c>
      <c r="J82" s="198">
        <f t="shared" si="29"/>
        <v>105385.63499999999</v>
      </c>
      <c r="K82" s="200"/>
      <c r="L82" s="118"/>
      <c r="M82" s="118">
        <v>6</v>
      </c>
      <c r="N82" s="95"/>
      <c r="O82" s="114"/>
      <c r="P82" s="94">
        <f t="shared" si="21"/>
        <v>35128.544999999998</v>
      </c>
      <c r="Q82" s="95">
        <f t="shared" si="22"/>
        <v>0</v>
      </c>
      <c r="R82" s="95">
        <f t="shared" si="23"/>
        <v>0</v>
      </c>
      <c r="S82" s="115">
        <f t="shared" si="24"/>
        <v>8782.1362499999996</v>
      </c>
      <c r="T82" s="116">
        <f t="shared" si="25"/>
        <v>4391.0681249999998</v>
      </c>
      <c r="U82" s="95"/>
      <c r="V82" s="95"/>
      <c r="W82" s="95"/>
      <c r="X82" s="95"/>
      <c r="Y82" s="95"/>
      <c r="Z82" s="95"/>
      <c r="AA82" s="95"/>
      <c r="AB82" s="95"/>
      <c r="AC82" s="95"/>
      <c r="AD82" s="95"/>
      <c r="AE82" s="95"/>
      <c r="AF82" s="51">
        <v>0</v>
      </c>
      <c r="AG82" s="51">
        <f t="shared" ref="AG82" si="36">(P82+Q82+R82+S82)*35%</f>
        <v>15368.738437499997</v>
      </c>
      <c r="AH82" s="51"/>
      <c r="AI82" s="113"/>
      <c r="AJ82" s="95"/>
      <c r="AK82" s="95"/>
      <c r="AL82" s="95"/>
      <c r="AM82" s="156">
        <f t="shared" si="30"/>
        <v>13173.204374999998</v>
      </c>
      <c r="AN82" s="95"/>
      <c r="AO82" s="95"/>
      <c r="AP82" s="116">
        <f t="shared" si="31"/>
        <v>28541.942812499994</v>
      </c>
      <c r="AQ82" s="198">
        <f>P82+Q82+R82+S82+T82+X82+Y82+Z82+AA82+AB82+AC82+AD82+AE82+AF82+AG82+AH82+AI82+AJ82+AK82+AM82+AN82+AO82+L82</f>
        <v>76843.692187499983</v>
      </c>
      <c r="AR82" s="117">
        <f t="shared" si="26"/>
        <v>48301.749374999985</v>
      </c>
      <c r="AS82" s="95">
        <f t="shared" si="27"/>
        <v>26346.408749999999</v>
      </c>
      <c r="AT82" s="117">
        <f t="shared" si="28"/>
        <v>131732.04374999998</v>
      </c>
      <c r="AU82" s="156">
        <f t="shared" si="33"/>
        <v>13173.204374999998</v>
      </c>
    </row>
    <row r="83" spans="1:48" ht="12.75" x14ac:dyDescent="0.2">
      <c r="A83" s="118">
        <v>18</v>
      </c>
      <c r="B83" s="112" t="s">
        <v>152</v>
      </c>
      <c r="C83" s="112" t="s">
        <v>63</v>
      </c>
      <c r="D83" s="112" t="s">
        <v>153</v>
      </c>
      <c r="E83" s="112" t="s">
        <v>93</v>
      </c>
      <c r="F83" s="112">
        <v>30.05</v>
      </c>
      <c r="G83" s="112">
        <v>4.29</v>
      </c>
      <c r="H83" s="118">
        <v>17697</v>
      </c>
      <c r="I83" s="197">
        <f t="shared" si="34"/>
        <v>75920.13</v>
      </c>
      <c r="J83" s="198">
        <f t="shared" si="29"/>
        <v>113880.19500000001</v>
      </c>
      <c r="K83" s="200"/>
      <c r="L83" s="118"/>
      <c r="M83" s="118">
        <v>17</v>
      </c>
      <c r="N83" s="95"/>
      <c r="O83" s="114"/>
      <c r="P83" s="94">
        <f t="shared" si="21"/>
        <v>107553.51750000002</v>
      </c>
      <c r="Q83" s="95">
        <f t="shared" si="22"/>
        <v>0</v>
      </c>
      <c r="R83" s="95">
        <f t="shared" si="23"/>
        <v>0</v>
      </c>
      <c r="S83" s="115">
        <f t="shared" si="24"/>
        <v>26888.379375000004</v>
      </c>
      <c r="T83" s="116">
        <f t="shared" si="25"/>
        <v>13444.189687500004</v>
      </c>
      <c r="U83" s="95"/>
      <c r="V83" s="95"/>
      <c r="W83" s="95"/>
      <c r="X83" s="95"/>
      <c r="Y83" s="95"/>
      <c r="Z83" s="95"/>
      <c r="AA83" s="95"/>
      <c r="AB83" s="95"/>
      <c r="AC83" s="95"/>
      <c r="AD83" s="95"/>
      <c r="AE83" s="95"/>
      <c r="AF83" s="51">
        <v>0</v>
      </c>
      <c r="AG83" s="51">
        <v>0</v>
      </c>
      <c r="AH83" s="51">
        <f t="shared" si="35"/>
        <v>40332.569062500006</v>
      </c>
      <c r="AI83" s="113"/>
      <c r="AJ83" s="95"/>
      <c r="AK83" s="95"/>
      <c r="AL83" s="95"/>
      <c r="AM83" s="156">
        <f t="shared" si="30"/>
        <v>40332.569062499999</v>
      </c>
      <c r="AN83" s="95"/>
      <c r="AO83" s="95"/>
      <c r="AP83" s="116">
        <f t="shared" si="31"/>
        <v>80665.138124999998</v>
      </c>
      <c r="AQ83" s="198">
        <f>P83+Q83+R83+S83+T83+X83+Y83+Z83+AA83+AB83+AC83+AD83+AE83+AF83+AG83+AH83+AI83+AJ83+AK83+AM83+AN83+AO83+L83</f>
        <v>228551.22468750004</v>
      </c>
      <c r="AR83" s="117">
        <f t="shared" si="26"/>
        <v>147886.08656250004</v>
      </c>
      <c r="AS83" s="95">
        <f t="shared" si="27"/>
        <v>28470.048750000002</v>
      </c>
      <c r="AT83" s="117">
        <f t="shared" si="28"/>
        <v>142350.24375000002</v>
      </c>
      <c r="AU83" s="156">
        <f t="shared" si="33"/>
        <v>40332.569062499999</v>
      </c>
    </row>
    <row r="84" spans="1:48" ht="12.75" x14ac:dyDescent="0.2">
      <c r="A84" s="118">
        <v>19</v>
      </c>
      <c r="B84" s="112" t="s">
        <v>208</v>
      </c>
      <c r="C84" s="112" t="s">
        <v>60</v>
      </c>
      <c r="D84" s="112" t="s">
        <v>180</v>
      </c>
      <c r="E84" s="112" t="s">
        <v>81</v>
      </c>
      <c r="F84" s="112">
        <v>12.06</v>
      </c>
      <c r="G84" s="112">
        <v>4.8600000000000003</v>
      </c>
      <c r="H84" s="118">
        <v>17697</v>
      </c>
      <c r="I84" s="197">
        <f t="shared" si="34"/>
        <v>86007.420000000013</v>
      </c>
      <c r="J84" s="198">
        <f t="shared" si="29"/>
        <v>129011.13000000002</v>
      </c>
      <c r="K84" s="200"/>
      <c r="L84" s="118"/>
      <c r="M84" s="118">
        <v>4</v>
      </c>
      <c r="N84" s="95"/>
      <c r="O84" s="114"/>
      <c r="P84" s="94">
        <f t="shared" si="21"/>
        <v>28669.140000000003</v>
      </c>
      <c r="Q84" s="95">
        <f t="shared" si="22"/>
        <v>0</v>
      </c>
      <c r="R84" s="95">
        <f t="shared" si="23"/>
        <v>0</v>
      </c>
      <c r="S84" s="115">
        <f t="shared" si="24"/>
        <v>7167.2850000000008</v>
      </c>
      <c r="T84" s="116">
        <f t="shared" si="25"/>
        <v>3583.6425000000004</v>
      </c>
      <c r="U84" s="95"/>
      <c r="V84" s="95"/>
      <c r="W84" s="95"/>
      <c r="X84" s="95"/>
      <c r="Y84" s="95"/>
      <c r="Z84" s="95"/>
      <c r="AA84" s="95"/>
      <c r="AB84" s="95"/>
      <c r="AC84" s="95"/>
      <c r="AD84" s="95"/>
      <c r="AE84" s="95"/>
      <c r="AF84" s="51">
        <v>0</v>
      </c>
      <c r="AG84" s="51">
        <f>(P84+Q84+R84+S84)*35%</f>
        <v>12542.748750000001</v>
      </c>
      <c r="AH84" s="51"/>
      <c r="AI84" s="113" t="s">
        <v>204</v>
      </c>
      <c r="AJ84" s="95"/>
      <c r="AK84" s="95"/>
      <c r="AL84" s="95"/>
      <c r="AM84" s="156">
        <f t="shared" si="30"/>
        <v>10750.927500000003</v>
      </c>
      <c r="AN84" s="95"/>
      <c r="AO84" s="95"/>
      <c r="AP84" s="116">
        <f t="shared" si="31"/>
        <v>23293.676250000004</v>
      </c>
      <c r="AQ84" s="198">
        <v>39486</v>
      </c>
      <c r="AR84" s="117">
        <f>AQ84-AP84</f>
        <v>16192.323749999996</v>
      </c>
      <c r="AS84" s="95">
        <f t="shared" si="27"/>
        <v>32252.782500000005</v>
      </c>
      <c r="AT84" s="117">
        <f t="shared" si="28"/>
        <v>161263.91250000003</v>
      </c>
      <c r="AU84" s="156">
        <f t="shared" si="33"/>
        <v>10750.927500000003</v>
      </c>
    </row>
    <row r="85" spans="1:48" ht="12.75" x14ac:dyDescent="0.2">
      <c r="A85" s="118">
        <v>20</v>
      </c>
      <c r="B85" s="112" t="s">
        <v>200</v>
      </c>
      <c r="C85" s="112" t="s">
        <v>63</v>
      </c>
      <c r="D85" s="112" t="s">
        <v>181</v>
      </c>
      <c r="E85" s="112" t="s">
        <v>84</v>
      </c>
      <c r="F85" s="112" t="s">
        <v>182</v>
      </c>
      <c r="G85" s="112">
        <v>3.32</v>
      </c>
      <c r="H85" s="118">
        <v>17697</v>
      </c>
      <c r="I85" s="197">
        <f t="shared" si="34"/>
        <v>58754.039999999994</v>
      </c>
      <c r="J85" s="198">
        <f t="shared" si="29"/>
        <v>88131.06</v>
      </c>
      <c r="K85" s="200"/>
      <c r="L85" s="118"/>
      <c r="M85" s="118">
        <v>6</v>
      </c>
      <c r="N85" s="95"/>
      <c r="O85" s="114"/>
      <c r="P85" s="94">
        <f t="shared" si="21"/>
        <v>29377.02</v>
      </c>
      <c r="Q85" s="95">
        <f t="shared" si="22"/>
        <v>0</v>
      </c>
      <c r="R85" s="95">
        <f t="shared" si="23"/>
        <v>0</v>
      </c>
      <c r="S85" s="115">
        <f t="shared" si="24"/>
        <v>7344.2550000000001</v>
      </c>
      <c r="T85" s="116">
        <f t="shared" si="25"/>
        <v>3672.1275000000005</v>
      </c>
      <c r="U85" s="95"/>
      <c r="V85" s="95"/>
      <c r="W85" s="95"/>
      <c r="X85" s="95"/>
      <c r="Y85" s="95"/>
      <c r="Z85" s="95"/>
      <c r="AA85" s="95"/>
      <c r="AB85" s="95"/>
      <c r="AC85" s="95"/>
      <c r="AD85" s="95"/>
      <c r="AE85" s="95"/>
      <c r="AF85" s="51">
        <v>0</v>
      </c>
      <c r="AG85" s="51">
        <v>0</v>
      </c>
      <c r="AH85" s="51"/>
      <c r="AI85" s="113"/>
      <c r="AJ85" s="95"/>
      <c r="AK85" s="95"/>
      <c r="AL85" s="95"/>
      <c r="AM85" s="156">
        <f t="shared" si="30"/>
        <v>11016.382499999998</v>
      </c>
      <c r="AN85" s="95"/>
      <c r="AO85" s="95"/>
      <c r="AP85" s="116">
        <f t="shared" si="31"/>
        <v>11016.382499999998</v>
      </c>
      <c r="AQ85" s="198">
        <f t="shared" si="32"/>
        <v>51409.785000000003</v>
      </c>
      <c r="AR85" s="117">
        <f t="shared" si="26"/>
        <v>40393.402500000004</v>
      </c>
      <c r="AS85" s="95">
        <f t="shared" si="27"/>
        <v>22032.764999999999</v>
      </c>
      <c r="AT85" s="117">
        <f t="shared" si="28"/>
        <v>110163.825</v>
      </c>
      <c r="AU85" s="156">
        <f t="shared" si="33"/>
        <v>11016.382499999998</v>
      </c>
    </row>
    <row r="86" spans="1:48" ht="12.75" x14ac:dyDescent="0.2">
      <c r="A86" s="118">
        <v>21</v>
      </c>
      <c r="B86" s="124" t="s">
        <v>183</v>
      </c>
      <c r="C86" s="124" t="s">
        <v>60</v>
      </c>
      <c r="D86" s="124" t="s">
        <v>99</v>
      </c>
      <c r="E86" s="124" t="s">
        <v>91</v>
      </c>
      <c r="F86" s="124">
        <v>1.04</v>
      </c>
      <c r="G86" s="124">
        <v>4.1399999999999997</v>
      </c>
      <c r="H86" s="122">
        <v>17697</v>
      </c>
      <c r="I86" s="194">
        <f t="shared" ref="I86:I95" si="37">G86*H86</f>
        <v>73265.579999999987</v>
      </c>
      <c r="J86" s="198">
        <f t="shared" si="29"/>
        <v>109898.36999999998</v>
      </c>
      <c r="K86" s="200"/>
      <c r="L86" s="118"/>
      <c r="M86" s="118">
        <v>4</v>
      </c>
      <c r="N86" s="123"/>
      <c r="O86" s="185"/>
      <c r="P86" s="94">
        <f t="shared" si="21"/>
        <v>24421.859999999997</v>
      </c>
      <c r="Q86" s="95">
        <f t="shared" si="22"/>
        <v>0</v>
      </c>
      <c r="R86" s="95">
        <f t="shared" si="23"/>
        <v>0</v>
      </c>
      <c r="S86" s="115">
        <f t="shared" si="24"/>
        <v>6105.4649999999992</v>
      </c>
      <c r="T86" s="116">
        <f t="shared" si="25"/>
        <v>3052.7325000000001</v>
      </c>
      <c r="U86" s="95"/>
      <c r="V86" s="95"/>
      <c r="W86" s="95"/>
      <c r="X86" s="95"/>
      <c r="Y86" s="95"/>
      <c r="Z86" s="95"/>
      <c r="AA86" s="95"/>
      <c r="AB86" s="95"/>
      <c r="AC86" s="95"/>
      <c r="AD86" s="95"/>
      <c r="AE86" s="95"/>
      <c r="AF86" s="51">
        <v>0</v>
      </c>
      <c r="AG86" s="51">
        <v>0</v>
      </c>
      <c r="AH86" s="51"/>
      <c r="AI86" s="113"/>
      <c r="AJ86" s="95"/>
      <c r="AK86" s="95"/>
      <c r="AL86" s="95"/>
      <c r="AM86" s="156">
        <f t="shared" si="30"/>
        <v>9158.1974999999984</v>
      </c>
      <c r="AN86" s="95"/>
      <c r="AO86" s="95"/>
      <c r="AP86" s="116">
        <f t="shared" si="31"/>
        <v>9158.1974999999984</v>
      </c>
      <c r="AQ86" s="198">
        <f t="shared" si="32"/>
        <v>42738.25499999999</v>
      </c>
      <c r="AR86" s="117">
        <f t="shared" si="26"/>
        <v>33580.057499999995</v>
      </c>
      <c r="AS86" s="95">
        <f t="shared" si="27"/>
        <v>27474.592499999995</v>
      </c>
      <c r="AT86" s="117">
        <f t="shared" si="28"/>
        <v>137372.96249999997</v>
      </c>
      <c r="AU86" s="156">
        <f t="shared" si="33"/>
        <v>9158.1974999999984</v>
      </c>
    </row>
    <row r="87" spans="1:48" ht="12.75" x14ac:dyDescent="0.2">
      <c r="A87" s="118">
        <v>22</v>
      </c>
      <c r="B87" s="74" t="s">
        <v>201</v>
      </c>
      <c r="C87" s="74" t="s">
        <v>60</v>
      </c>
      <c r="D87" s="74" t="s">
        <v>102</v>
      </c>
      <c r="E87" s="112" t="s">
        <v>91</v>
      </c>
      <c r="F87" s="112" t="s">
        <v>94</v>
      </c>
      <c r="G87" s="118">
        <v>4.0999999999999996</v>
      </c>
      <c r="H87" s="118">
        <v>17697</v>
      </c>
      <c r="I87" s="194">
        <f t="shared" si="37"/>
        <v>72557.7</v>
      </c>
      <c r="J87" s="198">
        <f t="shared" si="29"/>
        <v>108836.54999999999</v>
      </c>
      <c r="K87" s="200"/>
      <c r="L87" s="124"/>
      <c r="M87" s="118">
        <v>2</v>
      </c>
      <c r="N87" s="95"/>
      <c r="O87" s="186"/>
      <c r="P87" s="94">
        <f t="shared" ref="P87:P91" si="38">J87/18*M87</f>
        <v>12092.949999999999</v>
      </c>
      <c r="Q87" s="95">
        <f t="shared" ref="Q87:Q91" si="39">J87/18*N87</f>
        <v>0</v>
      </c>
      <c r="R87" s="95">
        <f t="shared" ref="R87:R95" si="40">J87/18*O87</f>
        <v>0</v>
      </c>
      <c r="S87" s="115">
        <f>(L87+P87+Q87+R87)*25%</f>
        <v>3023.2374999999997</v>
      </c>
      <c r="T87" s="116">
        <f>(P87+Q87+R87+L87+S87)*10%</f>
        <v>1511.6187499999999</v>
      </c>
      <c r="U87" s="95"/>
      <c r="V87" s="95"/>
      <c r="W87" s="95"/>
      <c r="X87" s="95"/>
      <c r="Y87" s="95"/>
      <c r="Z87" s="95"/>
      <c r="AA87" s="95"/>
      <c r="AB87" s="95"/>
      <c r="AC87" s="95"/>
      <c r="AD87" s="95"/>
      <c r="AE87" s="95"/>
      <c r="AF87" s="51">
        <v>0</v>
      </c>
      <c r="AG87" s="51">
        <v>0</v>
      </c>
      <c r="AH87" s="51"/>
      <c r="AI87" s="113"/>
      <c r="AJ87" s="95"/>
      <c r="AK87" s="95"/>
      <c r="AL87" s="95"/>
      <c r="AM87" s="156">
        <f t="shared" si="30"/>
        <v>4534.8562499999998</v>
      </c>
      <c r="AN87" s="95"/>
      <c r="AO87" s="95"/>
      <c r="AP87" s="116">
        <f t="shared" si="31"/>
        <v>4534.8562499999998</v>
      </c>
      <c r="AQ87" s="198">
        <f t="shared" si="32"/>
        <v>21162.662499999999</v>
      </c>
      <c r="AR87" s="117">
        <f>AQ87-AP87</f>
        <v>16627.806249999998</v>
      </c>
      <c r="AS87" s="95">
        <f>J87*25%</f>
        <v>27209.137499999997</v>
      </c>
      <c r="AT87" s="117">
        <f>AS87+J87</f>
        <v>136045.6875</v>
      </c>
      <c r="AU87" s="156">
        <f>AT87/18*(M87+N87+O87)*30%</f>
        <v>4534.8562499999998</v>
      </c>
    </row>
    <row r="88" spans="1:48" ht="12.75" x14ac:dyDescent="0.2">
      <c r="A88" s="118">
        <v>23</v>
      </c>
      <c r="B88" s="124" t="s">
        <v>202</v>
      </c>
      <c r="C88" s="124" t="s">
        <v>60</v>
      </c>
      <c r="D88" s="124" t="s">
        <v>96</v>
      </c>
      <c r="E88" s="124" t="s">
        <v>91</v>
      </c>
      <c r="F88" s="124">
        <v>4</v>
      </c>
      <c r="G88" s="124">
        <v>4.2300000000000004</v>
      </c>
      <c r="H88" s="122">
        <v>17697</v>
      </c>
      <c r="I88" s="194">
        <f t="shared" si="37"/>
        <v>74858.310000000012</v>
      </c>
      <c r="J88" s="198">
        <f t="shared" si="29"/>
        <v>112287.46500000003</v>
      </c>
      <c r="K88" s="200"/>
      <c r="L88" s="124"/>
      <c r="M88" s="124">
        <v>4</v>
      </c>
      <c r="N88" s="95"/>
      <c r="O88" s="186"/>
      <c r="P88" s="94">
        <f t="shared" si="38"/>
        <v>24952.770000000004</v>
      </c>
      <c r="Q88" s="95">
        <f t="shared" si="39"/>
        <v>0</v>
      </c>
      <c r="R88" s="95">
        <f t="shared" si="40"/>
        <v>0</v>
      </c>
      <c r="S88" s="115">
        <f>(L88+P88+Q88+R88)*25%</f>
        <v>6238.192500000001</v>
      </c>
      <c r="T88" s="116">
        <f>(P88+Q88+R88+L88+S88)*10%</f>
        <v>3119.0962500000005</v>
      </c>
      <c r="U88" s="125"/>
      <c r="V88" s="125"/>
      <c r="W88" s="125"/>
      <c r="X88" s="125"/>
      <c r="Y88" s="125"/>
      <c r="Z88" s="125"/>
      <c r="AA88" s="125"/>
      <c r="AB88" s="125"/>
      <c r="AC88" s="125"/>
      <c r="AD88" s="125"/>
      <c r="AE88" s="125">
        <v>0</v>
      </c>
      <c r="AF88" s="124"/>
      <c r="AG88" s="167"/>
      <c r="AH88" s="51">
        <f t="shared" si="35"/>
        <v>9357.2887500000015</v>
      </c>
      <c r="AI88" s="184"/>
      <c r="AJ88" s="125"/>
      <c r="AK88" s="125"/>
      <c r="AL88" s="125"/>
      <c r="AM88" s="156">
        <f t="shared" si="30"/>
        <v>9357.2887500000015</v>
      </c>
      <c r="AN88" s="129"/>
      <c r="AO88" s="129">
        <f>SUM(AO66:AO87)</f>
        <v>0</v>
      </c>
      <c r="AP88" s="116">
        <f t="shared" si="31"/>
        <v>18714.577500000003</v>
      </c>
      <c r="AQ88" s="198">
        <f t="shared" si="32"/>
        <v>53024.636250000003</v>
      </c>
      <c r="AR88" s="117">
        <f>AQ88-AP88</f>
        <v>34310.058749999997</v>
      </c>
      <c r="AS88" s="95">
        <f>J88*25%</f>
        <v>28071.866250000006</v>
      </c>
      <c r="AT88" s="117">
        <f>AS88+J88</f>
        <v>140359.33125000005</v>
      </c>
      <c r="AU88" s="156">
        <f>AT88/18*(M88+N88+O88)*30%</f>
        <v>9357.2887500000015</v>
      </c>
    </row>
    <row r="89" spans="1:48" ht="12.75" x14ac:dyDescent="0.2">
      <c r="A89" s="118">
        <v>24</v>
      </c>
      <c r="B89" s="124" t="s">
        <v>203</v>
      </c>
      <c r="C89" s="124" t="s">
        <v>63</v>
      </c>
      <c r="D89" s="124" t="s">
        <v>95</v>
      </c>
      <c r="E89" s="124" t="s">
        <v>93</v>
      </c>
      <c r="F89" s="124">
        <v>8</v>
      </c>
      <c r="G89" s="118">
        <v>3.97</v>
      </c>
      <c r="H89" s="122">
        <v>17697</v>
      </c>
      <c r="I89" s="197">
        <f t="shared" si="37"/>
        <v>70257.09</v>
      </c>
      <c r="J89" s="198">
        <f t="shared" si="29"/>
        <v>105385.63499999999</v>
      </c>
      <c r="K89" s="206"/>
      <c r="L89" s="118"/>
      <c r="M89" s="124">
        <v>6</v>
      </c>
      <c r="N89" s="123"/>
      <c r="O89" s="187"/>
      <c r="P89" s="94">
        <f t="shared" si="38"/>
        <v>35128.544999999998</v>
      </c>
      <c r="Q89" s="95">
        <f t="shared" si="39"/>
        <v>0</v>
      </c>
      <c r="R89" s="95">
        <f t="shared" si="40"/>
        <v>0</v>
      </c>
      <c r="S89" s="116">
        <f>(L89+P89+Q89+R89)*25%</f>
        <v>8782.1362499999996</v>
      </c>
      <c r="T89" s="165">
        <f>(P89+Q89+R89+L89+S89)*10%</f>
        <v>4391.0681249999998</v>
      </c>
      <c r="U89" s="95"/>
      <c r="V89" s="95"/>
      <c r="W89" s="95"/>
      <c r="X89" s="95"/>
      <c r="Y89" s="95"/>
      <c r="Z89" s="95"/>
      <c r="AA89" s="95"/>
      <c r="AB89" s="95"/>
      <c r="AC89" s="95"/>
      <c r="AD89" s="95"/>
      <c r="AE89" s="95"/>
      <c r="AF89" s="118"/>
      <c r="AG89" s="51"/>
      <c r="AH89" s="51"/>
      <c r="AI89" s="113"/>
      <c r="AJ89" s="95"/>
      <c r="AK89" s="95"/>
      <c r="AL89" s="95"/>
      <c r="AM89" s="156">
        <f t="shared" si="30"/>
        <v>13173.204374999998</v>
      </c>
      <c r="AN89" s="123"/>
      <c r="AO89" s="123"/>
      <c r="AP89" s="116">
        <f t="shared" si="31"/>
        <v>13173.204374999998</v>
      </c>
      <c r="AQ89" s="198">
        <f t="shared" si="32"/>
        <v>61474.953749999986</v>
      </c>
      <c r="AR89" s="117">
        <f>AQ89-AP89</f>
        <v>48301.749374999985</v>
      </c>
      <c r="AS89" s="95">
        <f>J89*25%</f>
        <v>26346.408749999999</v>
      </c>
      <c r="AT89" s="117">
        <f>AS89+J89</f>
        <v>131732.04374999998</v>
      </c>
      <c r="AU89" s="156">
        <f>AT89/18*(M89+N89+O89)*30%</f>
        <v>13173.204374999998</v>
      </c>
    </row>
    <row r="90" spans="1:48" ht="12.75" x14ac:dyDescent="0.2">
      <c r="A90" s="118">
        <v>25</v>
      </c>
      <c r="B90" s="74" t="s">
        <v>205</v>
      </c>
      <c r="C90" s="74" t="s">
        <v>60</v>
      </c>
      <c r="D90" s="74" t="s">
        <v>206</v>
      </c>
      <c r="E90" s="112" t="s">
        <v>80</v>
      </c>
      <c r="F90" s="112">
        <v>35.11</v>
      </c>
      <c r="G90" s="118">
        <v>5.41</v>
      </c>
      <c r="H90" s="118">
        <v>17697</v>
      </c>
      <c r="I90" s="198">
        <f t="shared" si="37"/>
        <v>95740.77</v>
      </c>
      <c r="J90" s="198">
        <f t="shared" si="29"/>
        <v>143611.155</v>
      </c>
      <c r="K90" s="200">
        <v>1</v>
      </c>
      <c r="L90" s="118">
        <f>J90/24*K90</f>
        <v>5983.7981250000003</v>
      </c>
      <c r="M90" s="118">
        <v>5</v>
      </c>
      <c r="N90" s="95"/>
      <c r="O90" s="114"/>
      <c r="P90" s="94">
        <f t="shared" si="38"/>
        <v>39891.987500000003</v>
      </c>
      <c r="Q90" s="95"/>
      <c r="R90" s="95">
        <f t="shared" si="40"/>
        <v>0</v>
      </c>
      <c r="S90" s="115">
        <f>(L90+P90+Q90+R90)*25%</f>
        <v>11468.946406250001</v>
      </c>
      <c r="T90" s="116">
        <f>(P90+Q90+R90+L90+S90)*10%</f>
        <v>5734.4732031250014</v>
      </c>
      <c r="U90" s="95"/>
      <c r="V90" s="95"/>
      <c r="W90" s="95"/>
      <c r="X90" s="95"/>
      <c r="Y90" s="95"/>
      <c r="Z90" s="95"/>
      <c r="AA90" s="95"/>
      <c r="AB90" s="95"/>
      <c r="AC90" s="95"/>
      <c r="AD90" s="95"/>
      <c r="AE90" s="95"/>
      <c r="AF90" s="51"/>
      <c r="AG90" s="118"/>
      <c r="AH90" s="118"/>
      <c r="AI90" s="113"/>
      <c r="AJ90" s="95"/>
      <c r="AK90" s="95"/>
      <c r="AL90" s="95"/>
      <c r="AM90" s="156">
        <f t="shared" si="30"/>
        <v>14959.495312499999</v>
      </c>
      <c r="AN90" s="118"/>
      <c r="AO90" s="118"/>
      <c r="AP90" s="116">
        <f t="shared" si="31"/>
        <v>14959.495312499999</v>
      </c>
      <c r="AQ90" s="198">
        <f t="shared" si="32"/>
        <v>78038.700546875014</v>
      </c>
      <c r="AR90" s="117">
        <f>AQ90-AP90</f>
        <v>63079.205234375011</v>
      </c>
      <c r="AS90" s="95">
        <f t="shared" ref="AS90:AS95" si="41">J90*25%</f>
        <v>35902.78875</v>
      </c>
      <c r="AT90" s="117">
        <f t="shared" ref="AT90:AT95" si="42">AS90+J90</f>
        <v>179513.94375000001</v>
      </c>
      <c r="AU90" s="156">
        <f>AT90/18*(M90+N90+O90)*30%</f>
        <v>14959.495312499999</v>
      </c>
    </row>
    <row r="91" spans="1:48" ht="12.75" x14ac:dyDescent="0.2">
      <c r="A91" s="118">
        <v>26</v>
      </c>
      <c r="B91" s="74" t="s">
        <v>207</v>
      </c>
      <c r="C91" s="74" t="s">
        <v>60</v>
      </c>
      <c r="D91" s="74" t="s">
        <v>98</v>
      </c>
      <c r="E91" s="112" t="s">
        <v>81</v>
      </c>
      <c r="F91" s="112">
        <v>16.010000000000002</v>
      </c>
      <c r="G91" s="118">
        <v>5.03</v>
      </c>
      <c r="H91" s="118">
        <v>17697</v>
      </c>
      <c r="I91" s="198">
        <f t="shared" si="37"/>
        <v>89015.91</v>
      </c>
      <c r="J91" s="198">
        <f t="shared" si="29"/>
        <v>133523.86499999999</v>
      </c>
      <c r="K91" s="200">
        <v>24</v>
      </c>
      <c r="L91" s="118">
        <f>J91/24*K91</f>
        <v>133523.86499999999</v>
      </c>
      <c r="M91" s="118"/>
      <c r="N91" s="95"/>
      <c r="O91" s="114"/>
      <c r="P91" s="94">
        <f t="shared" si="38"/>
        <v>0</v>
      </c>
      <c r="Q91" s="95">
        <f t="shared" si="39"/>
        <v>0</v>
      </c>
      <c r="R91" s="95">
        <f t="shared" si="40"/>
        <v>0</v>
      </c>
      <c r="S91" s="115">
        <f>(L91+P91+Q91+R91)*25%</f>
        <v>33380.966249999998</v>
      </c>
      <c r="T91" s="116">
        <f>(P91+Q91+R91+L91+S91)*10%</f>
        <v>16690.483124999999</v>
      </c>
      <c r="U91" s="95"/>
      <c r="V91" s="95"/>
      <c r="W91" s="95"/>
      <c r="X91" s="95"/>
      <c r="Y91" s="95"/>
      <c r="Z91" s="95"/>
      <c r="AA91" s="95"/>
      <c r="AB91" s="95"/>
      <c r="AC91" s="95"/>
      <c r="AD91" s="95"/>
      <c r="AE91" s="95"/>
      <c r="AF91" s="51"/>
      <c r="AG91" s="118"/>
      <c r="AH91" s="118"/>
      <c r="AI91" s="113"/>
      <c r="AJ91" s="95"/>
      <c r="AK91" s="95"/>
      <c r="AL91" s="95"/>
      <c r="AM91" s="156">
        <f t="shared" si="30"/>
        <v>0</v>
      </c>
      <c r="AN91" s="118"/>
      <c r="AO91" s="118"/>
      <c r="AP91" s="116">
        <f t="shared" si="31"/>
        <v>0</v>
      </c>
      <c r="AQ91" s="198">
        <f t="shared" si="32"/>
        <v>183595.31437499999</v>
      </c>
      <c r="AR91" s="117">
        <f>AQ91-AP91</f>
        <v>183595.31437499999</v>
      </c>
      <c r="AS91" s="95">
        <f t="shared" si="41"/>
        <v>33380.966249999998</v>
      </c>
      <c r="AT91" s="117">
        <f t="shared" si="42"/>
        <v>166904.83124999999</v>
      </c>
      <c r="AU91" s="156">
        <f t="shared" ref="AU91" si="43">AT91/18*(M91+N91+O91)*30%</f>
        <v>0</v>
      </c>
    </row>
    <row r="92" spans="1:48" ht="12.75" x14ac:dyDescent="0.2">
      <c r="A92" s="118">
        <v>27</v>
      </c>
      <c r="B92" s="74" t="s">
        <v>213</v>
      </c>
      <c r="C92" s="74" t="s">
        <v>60</v>
      </c>
      <c r="D92" s="74" t="s">
        <v>41</v>
      </c>
      <c r="E92" s="112" t="s">
        <v>81</v>
      </c>
      <c r="F92" s="112">
        <v>27.04</v>
      </c>
      <c r="G92" s="120">
        <v>5.2</v>
      </c>
      <c r="H92" s="118">
        <v>17697</v>
      </c>
      <c r="I92" s="194">
        <f>H92*G92</f>
        <v>92024.400000000009</v>
      </c>
      <c r="J92" s="198">
        <f t="shared" si="29"/>
        <v>138036.6</v>
      </c>
      <c r="K92" s="200"/>
      <c r="L92" s="118"/>
      <c r="M92" s="118">
        <v>5</v>
      </c>
      <c r="N92" s="95"/>
      <c r="O92" s="92"/>
      <c r="P92" s="94">
        <f>J92/18*M92</f>
        <v>38343.5</v>
      </c>
      <c r="Q92" s="95"/>
      <c r="R92" s="95">
        <f t="shared" si="40"/>
        <v>0</v>
      </c>
      <c r="S92" s="115">
        <f>(L92+P92+M92+R92)*25%</f>
        <v>9587.125</v>
      </c>
      <c r="T92" s="116">
        <f>(P92+M92+R92+L92+S92)*10%</f>
        <v>4793.5625</v>
      </c>
      <c r="U92" s="95"/>
      <c r="V92" s="95"/>
      <c r="W92" s="95"/>
      <c r="X92" s="95"/>
      <c r="Y92" s="95"/>
      <c r="Z92" s="95"/>
      <c r="AA92" s="95"/>
      <c r="AB92" s="95"/>
      <c r="AC92" s="95"/>
      <c r="AD92" s="95"/>
      <c r="AE92" s="95"/>
      <c r="AF92" s="51"/>
      <c r="AG92" s="118"/>
      <c r="AH92" s="118"/>
      <c r="AI92" s="113"/>
      <c r="AJ92" s="95"/>
      <c r="AK92" s="95"/>
      <c r="AL92" s="95"/>
      <c r="AM92" s="156">
        <f t="shared" si="30"/>
        <v>14378.8125</v>
      </c>
      <c r="AN92" s="118"/>
      <c r="AO92" s="118"/>
      <c r="AP92" s="116">
        <f t="shared" si="31"/>
        <v>14378.8125</v>
      </c>
      <c r="AQ92" s="198">
        <f t="shared" si="32"/>
        <v>67103</v>
      </c>
      <c r="AR92" s="117">
        <f t="shared" ref="AR92:AR95" si="44">AQ92-AP92</f>
        <v>52724.1875</v>
      </c>
      <c r="AS92" s="95">
        <f t="shared" si="41"/>
        <v>34509.15</v>
      </c>
      <c r="AT92" s="117">
        <f t="shared" si="42"/>
        <v>172545.75</v>
      </c>
      <c r="AU92" s="156">
        <f>AT92/18*(M92+N92+O92)*30%</f>
        <v>14378.8125</v>
      </c>
    </row>
    <row r="93" spans="1:48" ht="12.75" x14ac:dyDescent="0.2">
      <c r="A93" s="118">
        <v>28</v>
      </c>
      <c r="B93" s="74" t="s">
        <v>214</v>
      </c>
      <c r="C93" s="74" t="s">
        <v>60</v>
      </c>
      <c r="D93" s="74" t="s">
        <v>65</v>
      </c>
      <c r="E93" s="112" t="s">
        <v>81</v>
      </c>
      <c r="F93" s="112">
        <v>17.04</v>
      </c>
      <c r="G93" s="118">
        <v>5.03</v>
      </c>
      <c r="H93" s="118">
        <v>17697</v>
      </c>
      <c r="I93" s="194">
        <f t="shared" si="37"/>
        <v>89015.91</v>
      </c>
      <c r="J93" s="198">
        <f t="shared" si="29"/>
        <v>133523.86499999999</v>
      </c>
      <c r="K93" s="200"/>
      <c r="L93" s="118"/>
      <c r="M93" s="118">
        <v>3</v>
      </c>
      <c r="N93" s="95"/>
      <c r="O93" s="92"/>
      <c r="P93" s="94">
        <f>J93/18*M93</f>
        <v>22253.977499999997</v>
      </c>
      <c r="Q93" s="95"/>
      <c r="R93" s="95">
        <f t="shared" si="40"/>
        <v>0</v>
      </c>
      <c r="S93" s="115">
        <f>(L93+P93+M93+R93)*25%</f>
        <v>5564.2443749999993</v>
      </c>
      <c r="T93" s="116">
        <f>(P93+M93+R93+L93+S93)*10%</f>
        <v>2782.1221874999997</v>
      </c>
      <c r="U93" s="95"/>
      <c r="V93" s="95"/>
      <c r="W93" s="95"/>
      <c r="X93" s="95"/>
      <c r="Y93" s="95"/>
      <c r="Z93" s="95"/>
      <c r="AA93" s="95"/>
      <c r="AB93" s="95"/>
      <c r="AC93" s="95"/>
      <c r="AD93" s="95"/>
      <c r="AE93" s="95"/>
      <c r="AF93" s="51"/>
      <c r="AG93" s="198">
        <f>(P93+S93)*35%</f>
        <v>9736.377656249997</v>
      </c>
      <c r="AH93" s="118"/>
      <c r="AI93" s="113"/>
      <c r="AJ93" s="95"/>
      <c r="AK93" s="95"/>
      <c r="AL93" s="95"/>
      <c r="AM93" s="156">
        <f t="shared" si="30"/>
        <v>8345.2415624999976</v>
      </c>
      <c r="AN93" s="118"/>
      <c r="AO93" s="118"/>
      <c r="AP93" s="116">
        <f t="shared" si="31"/>
        <v>18081.619218749995</v>
      </c>
      <c r="AQ93" s="198">
        <f t="shared" si="32"/>
        <v>48681.963281249991</v>
      </c>
      <c r="AR93" s="117">
        <f t="shared" si="44"/>
        <v>30600.344062499997</v>
      </c>
      <c r="AS93" s="95">
        <f t="shared" si="41"/>
        <v>33380.966249999998</v>
      </c>
      <c r="AT93" s="117">
        <f t="shared" si="42"/>
        <v>166904.83124999999</v>
      </c>
      <c r="AU93" s="156">
        <f>AT93/18*(M93+N93+O93)*30%</f>
        <v>8345.2415624999976</v>
      </c>
    </row>
    <row r="94" spans="1:48" ht="12.75" x14ac:dyDescent="0.2">
      <c r="A94" s="118">
        <v>29</v>
      </c>
      <c r="B94" s="74" t="s">
        <v>215</v>
      </c>
      <c r="C94" s="74" t="s">
        <v>60</v>
      </c>
      <c r="D94" s="74" t="s">
        <v>97</v>
      </c>
      <c r="E94" s="112" t="s">
        <v>80</v>
      </c>
      <c r="F94" s="112">
        <v>31.04</v>
      </c>
      <c r="G94" s="118">
        <v>5.41</v>
      </c>
      <c r="H94" s="118">
        <v>17697</v>
      </c>
      <c r="I94" s="194">
        <f t="shared" si="37"/>
        <v>95740.77</v>
      </c>
      <c r="J94" s="198">
        <f t="shared" si="29"/>
        <v>143611.155</v>
      </c>
      <c r="K94" s="200"/>
      <c r="L94" s="118"/>
      <c r="M94" s="118">
        <v>2</v>
      </c>
      <c r="N94" s="95"/>
      <c r="O94" s="92"/>
      <c r="P94" s="94">
        <f>J94/18*M94</f>
        <v>15956.795</v>
      </c>
      <c r="Q94" s="95"/>
      <c r="R94" s="95">
        <f t="shared" si="40"/>
        <v>0</v>
      </c>
      <c r="S94" s="115">
        <f>(L94+P94+M94+R94)*25%</f>
        <v>3989.69875</v>
      </c>
      <c r="T94" s="116">
        <f>(P94+M94+R94+L94+S94)*10%</f>
        <v>1994.8493750000002</v>
      </c>
      <c r="U94" s="95"/>
      <c r="V94" s="95"/>
      <c r="W94" s="95"/>
      <c r="X94" s="95"/>
      <c r="Y94" s="95"/>
      <c r="Z94" s="95"/>
      <c r="AA94" s="95"/>
      <c r="AB94" s="95"/>
      <c r="AC94" s="95"/>
      <c r="AD94" s="95"/>
      <c r="AE94" s="95"/>
      <c r="AF94" s="51">
        <f>(P94+S94)*40%</f>
        <v>7978.5975000000008</v>
      </c>
      <c r="AG94" s="118"/>
      <c r="AH94" s="118"/>
      <c r="AI94" s="113"/>
      <c r="AJ94" s="95"/>
      <c r="AK94" s="95"/>
      <c r="AL94" s="95"/>
      <c r="AM94" s="156">
        <f t="shared" si="30"/>
        <v>5983.7981250000003</v>
      </c>
      <c r="AN94" s="118"/>
      <c r="AO94" s="118"/>
      <c r="AP94" s="116">
        <f t="shared" si="31"/>
        <v>13962.395625000001</v>
      </c>
      <c r="AQ94" s="198">
        <f t="shared" si="32"/>
        <v>35903.738750000004</v>
      </c>
      <c r="AR94" s="117">
        <f t="shared" si="44"/>
        <v>21941.343125000003</v>
      </c>
      <c r="AS94" s="95">
        <f t="shared" si="41"/>
        <v>35902.78875</v>
      </c>
      <c r="AT94" s="117">
        <f t="shared" si="42"/>
        <v>179513.94375000001</v>
      </c>
      <c r="AU94" s="156">
        <f>AT94/18*(M94+N94+O94)*30%</f>
        <v>5983.7981250000003</v>
      </c>
    </row>
    <row r="95" spans="1:48" ht="12.75" x14ac:dyDescent="0.2">
      <c r="A95" s="118">
        <v>30</v>
      </c>
      <c r="B95" s="74" t="s">
        <v>216</v>
      </c>
      <c r="C95" s="74" t="s">
        <v>60</v>
      </c>
      <c r="D95" s="74" t="s">
        <v>99</v>
      </c>
      <c r="E95" s="112" t="s">
        <v>91</v>
      </c>
      <c r="F95" s="112">
        <v>12.01</v>
      </c>
      <c r="G95" s="118">
        <v>4.38</v>
      </c>
      <c r="H95" s="118">
        <v>17697</v>
      </c>
      <c r="I95" s="194">
        <f t="shared" si="37"/>
        <v>77512.86</v>
      </c>
      <c r="J95" s="198">
        <f t="shared" si="29"/>
        <v>116269.29000000001</v>
      </c>
      <c r="K95" s="200"/>
      <c r="L95" s="118"/>
      <c r="M95" s="118">
        <v>1</v>
      </c>
      <c r="N95" s="95"/>
      <c r="O95" s="92"/>
      <c r="P95" s="94">
        <f>J95/18*M95</f>
        <v>6459.4050000000007</v>
      </c>
      <c r="Q95" s="95"/>
      <c r="R95" s="95">
        <f t="shared" si="40"/>
        <v>0</v>
      </c>
      <c r="S95" s="115">
        <f>(L95+P95+M95+R95)*25%</f>
        <v>1615.1012500000002</v>
      </c>
      <c r="T95" s="116">
        <f>(P95+M95+R95+L95+S95)*10%</f>
        <v>807.55062500000008</v>
      </c>
      <c r="U95" s="95"/>
      <c r="V95" s="95"/>
      <c r="W95" s="95"/>
      <c r="X95" s="95"/>
      <c r="Y95" s="95"/>
      <c r="Z95" s="95"/>
      <c r="AA95" s="95"/>
      <c r="AB95" s="95"/>
      <c r="AC95" s="95"/>
      <c r="AD95" s="95"/>
      <c r="AE95" s="95"/>
      <c r="AF95" s="51"/>
      <c r="AG95" s="118"/>
      <c r="AH95" s="118"/>
      <c r="AI95" s="113"/>
      <c r="AJ95" s="95"/>
      <c r="AK95" s="95"/>
      <c r="AL95" s="95"/>
      <c r="AM95" s="156">
        <f t="shared" si="30"/>
        <v>2422.2768750000005</v>
      </c>
      <c r="AN95" s="118"/>
      <c r="AO95" s="118"/>
      <c r="AP95" s="116">
        <f t="shared" si="31"/>
        <v>2422.2768750000005</v>
      </c>
      <c r="AQ95" s="198">
        <f t="shared" si="32"/>
        <v>11304.333750000002</v>
      </c>
      <c r="AR95" s="117">
        <f t="shared" si="44"/>
        <v>8882.056875000002</v>
      </c>
      <c r="AS95" s="95">
        <f t="shared" si="41"/>
        <v>29067.322500000002</v>
      </c>
      <c r="AT95" s="117">
        <f t="shared" si="42"/>
        <v>145336.61250000002</v>
      </c>
      <c r="AU95" s="156">
        <f>AT95/18*(M95+N95+O95)*30%</f>
        <v>2422.2768750000005</v>
      </c>
    </row>
    <row r="96" spans="1:48" s="62" customFormat="1" x14ac:dyDescent="0.2">
      <c r="A96" s="188"/>
      <c r="B96" s="188"/>
      <c r="C96" s="188"/>
      <c r="D96" s="188"/>
      <c r="E96" s="188"/>
      <c r="F96" s="188"/>
      <c r="G96" s="188"/>
      <c r="H96" s="188"/>
      <c r="I96" s="205"/>
      <c r="J96" s="208">
        <f>SUM(J66:J95)</f>
        <v>3762293.7149999985</v>
      </c>
      <c r="K96" s="208">
        <f t="shared" ref="K96:AU96" si="45">SUM(K66:K95)</f>
        <v>25</v>
      </c>
      <c r="L96" s="208">
        <f t="shared" si="45"/>
        <v>139507.66312499999</v>
      </c>
      <c r="M96" s="208">
        <f>SUM(M66:M95)</f>
        <v>178</v>
      </c>
      <c r="N96" s="208">
        <f t="shared" si="45"/>
        <v>0</v>
      </c>
      <c r="O96" s="208">
        <f t="shared" si="45"/>
        <v>0</v>
      </c>
      <c r="P96" s="208">
        <f t="shared" si="45"/>
        <v>1238731.01</v>
      </c>
      <c r="Q96" s="208">
        <f>SUM(Q66:Q95)</f>
        <v>0</v>
      </c>
      <c r="R96" s="208">
        <f t="shared" si="45"/>
        <v>0</v>
      </c>
      <c r="S96" s="115">
        <f t="shared" ref="S96" si="46">(L96+P96+Q96+R96)*25%</f>
        <v>344559.66828124999</v>
      </c>
      <c r="T96" s="116">
        <f t="shared" ref="T96" si="47">(P96+Q96+R96+L96+S96)*10%</f>
        <v>172279.834140625</v>
      </c>
      <c r="U96" s="208">
        <f t="shared" si="45"/>
        <v>0</v>
      </c>
      <c r="V96" s="208">
        <f t="shared" si="45"/>
        <v>0</v>
      </c>
      <c r="W96" s="208">
        <f t="shared" si="45"/>
        <v>0</v>
      </c>
      <c r="X96" s="208">
        <f t="shared" si="45"/>
        <v>0</v>
      </c>
      <c r="Y96" s="208">
        <f t="shared" si="45"/>
        <v>0</v>
      </c>
      <c r="Z96" s="208">
        <f t="shared" si="45"/>
        <v>0</v>
      </c>
      <c r="AA96" s="208">
        <f t="shared" si="45"/>
        <v>0</v>
      </c>
      <c r="AB96" s="208">
        <f t="shared" si="45"/>
        <v>0</v>
      </c>
      <c r="AC96" s="208">
        <f t="shared" si="45"/>
        <v>0</v>
      </c>
      <c r="AD96" s="208">
        <f t="shared" si="45"/>
        <v>0</v>
      </c>
      <c r="AE96" s="208">
        <f t="shared" si="45"/>
        <v>0</v>
      </c>
      <c r="AF96" s="208">
        <f t="shared" si="45"/>
        <v>125154.85875000001</v>
      </c>
      <c r="AG96" s="208">
        <f t="shared" si="45"/>
        <v>144893.52828124998</v>
      </c>
      <c r="AH96" s="208">
        <f t="shared" si="45"/>
        <v>119863.99312500001</v>
      </c>
      <c r="AI96" s="208">
        <f t="shared" si="45"/>
        <v>0</v>
      </c>
      <c r="AJ96" s="208">
        <f t="shared" si="45"/>
        <v>0</v>
      </c>
      <c r="AK96" s="208">
        <f t="shared" si="45"/>
        <v>0</v>
      </c>
      <c r="AL96" s="208">
        <f t="shared" si="45"/>
        <v>0</v>
      </c>
      <c r="AM96" s="208">
        <f t="shared" si="45"/>
        <v>464524.12874999992</v>
      </c>
      <c r="AN96" s="208">
        <f t="shared" si="45"/>
        <v>0</v>
      </c>
      <c r="AO96" s="208">
        <f t="shared" si="45"/>
        <v>0</v>
      </c>
      <c r="AP96" s="208">
        <f t="shared" si="45"/>
        <v>854436.50890624989</v>
      </c>
      <c r="AQ96" s="208">
        <f t="shared" si="45"/>
        <v>2726291.0657031252</v>
      </c>
      <c r="AR96" s="208">
        <f t="shared" si="45"/>
        <v>1871854.5567968749</v>
      </c>
      <c r="AS96" s="208">
        <f t="shared" si="45"/>
        <v>940573.42874999961</v>
      </c>
      <c r="AT96" s="208">
        <f t="shared" si="45"/>
        <v>4702867.1437500007</v>
      </c>
      <c r="AU96" s="208">
        <f t="shared" si="45"/>
        <v>464524.12874999992</v>
      </c>
      <c r="AV96" s="188">
        <f t="shared" ref="AV96" si="48">SUM(AV66:AV89)</f>
        <v>0</v>
      </c>
    </row>
    <row r="97" spans="2:43" x14ac:dyDescent="0.2">
      <c r="M97" s="82"/>
      <c r="O97" s="109"/>
    </row>
    <row r="99" spans="2:43" x14ac:dyDescent="0.2">
      <c r="B99" s="66" t="s">
        <v>90</v>
      </c>
      <c r="J99" s="66" t="s">
        <v>158</v>
      </c>
      <c r="AQ99" s="207"/>
    </row>
    <row r="100" spans="2:43" x14ac:dyDescent="0.2">
      <c r="B100" s="66" t="s">
        <v>89</v>
      </c>
      <c r="J100" s="66" t="s">
        <v>86</v>
      </c>
      <c r="M100" s="176"/>
      <c r="N100" s="176"/>
      <c r="O100" s="176"/>
      <c r="P100" s="176"/>
      <c r="Q100" s="176"/>
      <c r="R100" s="176"/>
      <c r="S100" s="176"/>
      <c r="T100" s="176"/>
      <c r="U100" s="176"/>
      <c r="V100" s="176"/>
      <c r="W100" s="176"/>
      <c r="X100" s="176"/>
      <c r="Y100" s="176"/>
      <c r="Z100" s="176"/>
      <c r="AA100" s="176"/>
      <c r="AB100" s="176"/>
      <c r="AC100" s="176"/>
      <c r="AD100" s="176"/>
      <c r="AE100" s="176"/>
      <c r="AF100" s="176"/>
    </row>
    <row r="101" spans="2:43" s="189" customFormat="1" x14ac:dyDescent="0.2">
      <c r="M101" s="190"/>
      <c r="N101" s="191"/>
      <c r="O101" s="192"/>
      <c r="P101" s="192"/>
      <c r="Q101" s="193"/>
      <c r="R101" s="192"/>
      <c r="S101" s="192"/>
      <c r="T101" s="192"/>
      <c r="U101" s="190"/>
      <c r="V101" s="190"/>
      <c r="W101" s="190"/>
      <c r="X101" s="190"/>
      <c r="Y101" s="190"/>
      <c r="Z101" s="190"/>
      <c r="AA101" s="190"/>
      <c r="AB101" s="190"/>
      <c r="AC101" s="190"/>
      <c r="AD101" s="190"/>
      <c r="AE101" s="190"/>
      <c r="AF101" s="190"/>
    </row>
    <row r="103" spans="2:43" x14ac:dyDescent="0.2">
      <c r="M103" s="82"/>
      <c r="N103" s="83" t="s">
        <v>193</v>
      </c>
      <c r="O103" s="84"/>
      <c r="P103" s="84"/>
      <c r="Q103" s="85" t="s">
        <v>44</v>
      </c>
      <c r="R103" s="86" t="s">
        <v>45</v>
      </c>
      <c r="S103" s="86" t="s">
        <v>46</v>
      </c>
      <c r="T103" s="86" t="s">
        <v>47</v>
      </c>
    </row>
    <row r="104" spans="2:43" x14ac:dyDescent="0.2">
      <c r="B104" s="66" t="s">
        <v>87</v>
      </c>
      <c r="C104" s="66"/>
      <c r="D104" s="66"/>
      <c r="E104" s="66"/>
      <c r="F104" s="66"/>
      <c r="G104" s="66"/>
      <c r="M104" s="82"/>
      <c r="N104" s="83" t="s">
        <v>48</v>
      </c>
      <c r="O104" s="88"/>
      <c r="P104" s="88"/>
      <c r="Q104" s="89">
        <v>14</v>
      </c>
      <c r="R104" s="89">
        <v>17</v>
      </c>
      <c r="S104" s="89">
        <v>6</v>
      </c>
      <c r="T104" s="89">
        <f>Q104+R104+S104</f>
        <v>37</v>
      </c>
    </row>
    <row r="105" spans="2:43" x14ac:dyDescent="0.2">
      <c r="B105" s="66" t="s">
        <v>88</v>
      </c>
      <c r="C105" s="66"/>
      <c r="D105" s="66"/>
      <c r="E105" s="66"/>
      <c r="F105" s="66"/>
      <c r="G105" s="66"/>
      <c r="M105" s="82"/>
      <c r="N105" s="90" t="s">
        <v>49</v>
      </c>
      <c r="O105" s="91"/>
      <c r="P105" s="91"/>
      <c r="Q105" s="89">
        <v>14</v>
      </c>
      <c r="R105" s="89">
        <v>17</v>
      </c>
      <c r="S105" s="89">
        <v>6</v>
      </c>
      <c r="T105" s="89">
        <f t="shared" ref="T105:T111" si="49">Q105+R105+S105</f>
        <v>37</v>
      </c>
    </row>
    <row r="106" spans="2:43" x14ac:dyDescent="0.2">
      <c r="M106" s="82"/>
      <c r="N106" s="92" t="s">
        <v>59</v>
      </c>
      <c r="O106" s="93"/>
      <c r="P106" s="94"/>
      <c r="Q106" s="94">
        <v>260</v>
      </c>
      <c r="R106" s="95">
        <v>259</v>
      </c>
      <c r="S106" s="95">
        <v>62</v>
      </c>
      <c r="T106" s="89">
        <f t="shared" si="49"/>
        <v>581</v>
      </c>
    </row>
    <row r="107" spans="2:43" x14ac:dyDescent="0.2">
      <c r="M107" s="96"/>
      <c r="N107" s="97" t="s">
        <v>50</v>
      </c>
      <c r="O107" s="98"/>
      <c r="P107" s="98"/>
      <c r="Q107" s="99">
        <v>345</v>
      </c>
      <c r="R107" s="99">
        <v>510</v>
      </c>
      <c r="S107" s="99">
        <v>168</v>
      </c>
      <c r="T107" s="89">
        <f t="shared" si="49"/>
        <v>1023</v>
      </c>
      <c r="U107" s="100"/>
      <c r="V107" s="100"/>
      <c r="AD107" s="100"/>
      <c r="AE107" s="100"/>
      <c r="AF107" s="100"/>
      <c r="AG107" s="100"/>
      <c r="AH107" s="100"/>
      <c r="AI107" s="101"/>
      <c r="AJ107" s="100"/>
      <c r="AK107" s="100"/>
      <c r="AL107" s="100"/>
      <c r="AM107" s="100"/>
    </row>
    <row r="108" spans="2:43" x14ac:dyDescent="0.2">
      <c r="M108" s="82"/>
      <c r="N108" s="83" t="s">
        <v>51</v>
      </c>
      <c r="O108" s="88"/>
      <c r="P108" s="88"/>
      <c r="Q108" s="102">
        <f>Q107+Q109+Q110</f>
        <v>389</v>
      </c>
      <c r="R108" s="102">
        <f>R107+R109+R110</f>
        <v>587</v>
      </c>
      <c r="S108" s="102">
        <f>S107+S109+S110</f>
        <v>184</v>
      </c>
      <c r="T108" s="89">
        <f t="shared" si="49"/>
        <v>1160</v>
      </c>
      <c r="U108" s="81" t="s">
        <v>185</v>
      </c>
    </row>
    <row r="109" spans="2:43" x14ac:dyDescent="0.2">
      <c r="M109" s="82"/>
      <c r="N109" s="90" t="s">
        <v>52</v>
      </c>
      <c r="O109" s="91"/>
      <c r="P109" s="91"/>
      <c r="Q109" s="103">
        <v>9</v>
      </c>
      <c r="R109" s="103">
        <v>18</v>
      </c>
      <c r="S109" s="103">
        <v>14</v>
      </c>
      <c r="T109" s="89">
        <f t="shared" si="49"/>
        <v>41</v>
      </c>
      <c r="AD109" s="104"/>
    </row>
    <row r="110" spans="2:43" x14ac:dyDescent="0.2">
      <c r="E110" s="66" t="s">
        <v>218</v>
      </c>
      <c r="F110" s="66"/>
      <c r="G110" s="66"/>
      <c r="H110" s="66"/>
      <c r="I110" s="66"/>
      <c r="J110" s="66"/>
      <c r="M110" s="105"/>
      <c r="N110" s="83" t="s">
        <v>53</v>
      </c>
      <c r="O110" s="106"/>
      <c r="P110" s="107"/>
      <c r="Q110" s="108">
        <v>35</v>
      </c>
      <c r="R110" s="86">
        <v>59</v>
      </c>
      <c r="S110" s="86">
        <v>2</v>
      </c>
      <c r="T110" s="89">
        <f t="shared" si="49"/>
        <v>96</v>
      </c>
    </row>
    <row r="111" spans="2:43" x14ac:dyDescent="0.2">
      <c r="H111" s="66" t="s">
        <v>134</v>
      </c>
      <c r="I111" s="66"/>
      <c r="J111" s="66"/>
      <c r="K111" s="66"/>
      <c r="L111" s="66"/>
      <c r="M111" s="82"/>
      <c r="N111" s="95"/>
      <c r="O111" s="95" t="s">
        <v>54</v>
      </c>
      <c r="P111" s="95"/>
      <c r="Q111" s="86">
        <v>72</v>
      </c>
      <c r="R111" s="72"/>
      <c r="S111" s="72"/>
      <c r="T111" s="89">
        <f t="shared" si="49"/>
        <v>72</v>
      </c>
    </row>
    <row r="112" spans="2:43" ht="12.75" thickBot="1" x14ac:dyDescent="0.25">
      <c r="B112" s="81" t="s">
        <v>155</v>
      </c>
      <c r="M112" s="82"/>
      <c r="O112" s="109"/>
      <c r="R112" s="81" t="s">
        <v>154</v>
      </c>
    </row>
    <row r="113" spans="1:47" ht="36" x14ac:dyDescent="0.2">
      <c r="A113" s="300" t="s">
        <v>18</v>
      </c>
      <c r="B113" s="303" t="s">
        <v>19</v>
      </c>
      <c r="C113" s="306" t="s">
        <v>20</v>
      </c>
      <c r="D113" s="303" t="s">
        <v>21</v>
      </c>
      <c r="E113" s="306" t="s">
        <v>22</v>
      </c>
      <c r="F113" s="306" t="s">
        <v>23</v>
      </c>
      <c r="G113" s="306" t="s">
        <v>24</v>
      </c>
      <c r="H113" s="306" t="s">
        <v>55</v>
      </c>
      <c r="I113" s="307" t="s">
        <v>25</v>
      </c>
      <c r="J113" s="284" t="s">
        <v>209</v>
      </c>
      <c r="K113" s="127" t="s">
        <v>26</v>
      </c>
      <c r="L113" s="110" t="s">
        <v>27</v>
      </c>
      <c r="M113" s="287" t="s">
        <v>28</v>
      </c>
      <c r="N113" s="288"/>
      <c r="O113" s="289"/>
      <c r="P113" s="290" t="s">
        <v>27</v>
      </c>
      <c r="Q113" s="291"/>
      <c r="R113" s="292"/>
      <c r="S113" s="293">
        <v>0.25</v>
      </c>
      <c r="T113" s="296" t="s">
        <v>30</v>
      </c>
      <c r="U113" s="287" t="s">
        <v>29</v>
      </c>
      <c r="V113" s="288"/>
      <c r="W113" s="288"/>
      <c r="X113" s="288"/>
      <c r="Y113" s="288"/>
      <c r="Z113" s="299"/>
      <c r="AA113" s="273" t="s">
        <v>4</v>
      </c>
      <c r="AB113" s="275"/>
      <c r="AC113" s="261" t="s">
        <v>3</v>
      </c>
      <c r="AD113" s="261" t="s">
        <v>43</v>
      </c>
      <c r="AE113" s="273" t="s">
        <v>11</v>
      </c>
      <c r="AF113" s="274"/>
      <c r="AG113" s="274"/>
      <c r="AH113" s="275"/>
      <c r="AI113" s="276" t="s">
        <v>6</v>
      </c>
      <c r="AJ113" s="277"/>
      <c r="AK113" s="278"/>
      <c r="AL113" s="212"/>
      <c r="AM113" s="279" t="s">
        <v>12</v>
      </c>
      <c r="AN113" s="273" t="s">
        <v>16</v>
      </c>
      <c r="AO113" s="275"/>
      <c r="AP113" s="218" t="s">
        <v>14</v>
      </c>
      <c r="AQ113" s="221" t="s">
        <v>31</v>
      </c>
      <c r="AR113" s="224" t="s">
        <v>32</v>
      </c>
    </row>
    <row r="114" spans="1:47" x14ac:dyDescent="0.2">
      <c r="A114" s="301"/>
      <c r="B114" s="304"/>
      <c r="C114" s="271"/>
      <c r="D114" s="304"/>
      <c r="E114" s="271"/>
      <c r="F114" s="271"/>
      <c r="G114" s="271"/>
      <c r="H114" s="271"/>
      <c r="I114" s="308"/>
      <c r="J114" s="285"/>
      <c r="K114" s="227" t="s">
        <v>33</v>
      </c>
      <c r="L114" s="230" t="s">
        <v>33</v>
      </c>
      <c r="M114" s="233" t="s">
        <v>217</v>
      </c>
      <c r="N114" s="230" t="s">
        <v>1</v>
      </c>
      <c r="O114" s="236" t="s">
        <v>2</v>
      </c>
      <c r="P114" s="233" t="s">
        <v>217</v>
      </c>
      <c r="Q114" s="230" t="s">
        <v>1</v>
      </c>
      <c r="R114" s="239" t="s">
        <v>2</v>
      </c>
      <c r="S114" s="294"/>
      <c r="T114" s="297"/>
      <c r="U114" s="242" t="s">
        <v>34</v>
      </c>
      <c r="V114" s="243"/>
      <c r="W114" s="244"/>
      <c r="X114" s="248" t="s">
        <v>35</v>
      </c>
      <c r="Y114" s="249"/>
      <c r="Z114" s="250"/>
      <c r="AA114" s="254" t="s">
        <v>17</v>
      </c>
      <c r="AB114" s="255"/>
      <c r="AC114" s="262"/>
      <c r="AD114" s="262"/>
      <c r="AE114" s="258" t="s">
        <v>10</v>
      </c>
      <c r="AF114" s="261" t="s">
        <v>9</v>
      </c>
      <c r="AG114" s="264" t="s">
        <v>8</v>
      </c>
      <c r="AH114" s="264" t="s">
        <v>7</v>
      </c>
      <c r="AI114" s="267" t="s">
        <v>36</v>
      </c>
      <c r="AJ114" s="270" t="s">
        <v>37</v>
      </c>
      <c r="AK114" s="270" t="s">
        <v>38</v>
      </c>
      <c r="AL114" s="210"/>
      <c r="AM114" s="280"/>
      <c r="AN114" s="258" t="s">
        <v>13</v>
      </c>
      <c r="AO114" s="258" t="s">
        <v>15</v>
      </c>
      <c r="AP114" s="219"/>
      <c r="AQ114" s="222"/>
      <c r="AR114" s="225"/>
    </row>
    <row r="115" spans="1:47" x14ac:dyDescent="0.2">
      <c r="A115" s="301"/>
      <c r="B115" s="304"/>
      <c r="C115" s="271"/>
      <c r="D115" s="304"/>
      <c r="E115" s="271"/>
      <c r="F115" s="271"/>
      <c r="G115" s="271"/>
      <c r="H115" s="271"/>
      <c r="I115" s="308"/>
      <c r="J115" s="285"/>
      <c r="K115" s="228"/>
      <c r="L115" s="231"/>
      <c r="M115" s="234"/>
      <c r="N115" s="231"/>
      <c r="O115" s="237"/>
      <c r="P115" s="234"/>
      <c r="Q115" s="231"/>
      <c r="R115" s="240"/>
      <c r="S115" s="294"/>
      <c r="T115" s="297"/>
      <c r="U115" s="245"/>
      <c r="V115" s="246"/>
      <c r="W115" s="247"/>
      <c r="X115" s="251"/>
      <c r="Y115" s="252"/>
      <c r="Z115" s="253"/>
      <c r="AA115" s="256"/>
      <c r="AB115" s="257"/>
      <c r="AC115" s="262"/>
      <c r="AD115" s="262"/>
      <c r="AE115" s="259"/>
      <c r="AF115" s="262"/>
      <c r="AG115" s="265"/>
      <c r="AH115" s="265"/>
      <c r="AI115" s="268"/>
      <c r="AJ115" s="271"/>
      <c r="AK115" s="271"/>
      <c r="AL115" s="210"/>
      <c r="AM115" s="280"/>
      <c r="AN115" s="259"/>
      <c r="AO115" s="259"/>
      <c r="AP115" s="219"/>
      <c r="AQ115" s="222"/>
      <c r="AR115" s="225"/>
    </row>
    <row r="116" spans="1:47" x14ac:dyDescent="0.2">
      <c r="A116" s="301"/>
      <c r="B116" s="304"/>
      <c r="C116" s="271"/>
      <c r="D116" s="304"/>
      <c r="E116" s="271"/>
      <c r="F116" s="271"/>
      <c r="G116" s="271"/>
      <c r="H116" s="271"/>
      <c r="I116" s="308"/>
      <c r="J116" s="285"/>
      <c r="K116" s="228"/>
      <c r="L116" s="231"/>
      <c r="M116" s="234"/>
      <c r="N116" s="231"/>
      <c r="O116" s="237"/>
      <c r="P116" s="234"/>
      <c r="Q116" s="231"/>
      <c r="R116" s="240"/>
      <c r="S116" s="294"/>
      <c r="T116" s="297"/>
      <c r="U116" s="230" t="s">
        <v>0</v>
      </c>
      <c r="V116" s="230" t="s">
        <v>1</v>
      </c>
      <c r="W116" s="230" t="s">
        <v>2</v>
      </c>
      <c r="X116" s="264" t="s">
        <v>0</v>
      </c>
      <c r="Y116" s="264" t="s">
        <v>1</v>
      </c>
      <c r="Z116" s="264" t="s">
        <v>2</v>
      </c>
      <c r="AA116" s="213"/>
      <c r="AB116" s="213"/>
      <c r="AC116" s="262"/>
      <c r="AD116" s="262"/>
      <c r="AE116" s="259"/>
      <c r="AF116" s="262"/>
      <c r="AG116" s="265"/>
      <c r="AH116" s="265"/>
      <c r="AI116" s="268"/>
      <c r="AJ116" s="271"/>
      <c r="AK116" s="271"/>
      <c r="AL116" s="210"/>
      <c r="AM116" s="280"/>
      <c r="AN116" s="259"/>
      <c r="AO116" s="259"/>
      <c r="AP116" s="219"/>
      <c r="AQ116" s="222"/>
      <c r="AR116" s="225"/>
    </row>
    <row r="117" spans="1:47" x14ac:dyDescent="0.2">
      <c r="A117" s="301"/>
      <c r="B117" s="304"/>
      <c r="C117" s="271"/>
      <c r="D117" s="304"/>
      <c r="E117" s="271"/>
      <c r="F117" s="271"/>
      <c r="G117" s="271"/>
      <c r="H117" s="271"/>
      <c r="I117" s="308"/>
      <c r="J117" s="285"/>
      <c r="K117" s="228"/>
      <c r="L117" s="231"/>
      <c r="M117" s="234"/>
      <c r="N117" s="231"/>
      <c r="O117" s="237"/>
      <c r="P117" s="234"/>
      <c r="Q117" s="231"/>
      <c r="R117" s="240"/>
      <c r="S117" s="294"/>
      <c r="T117" s="297"/>
      <c r="U117" s="231"/>
      <c r="V117" s="231"/>
      <c r="W117" s="231"/>
      <c r="X117" s="265"/>
      <c r="Y117" s="265"/>
      <c r="Z117" s="265"/>
      <c r="AA117" s="282" t="s">
        <v>0</v>
      </c>
      <c r="AB117" s="282" t="s">
        <v>5</v>
      </c>
      <c r="AC117" s="262"/>
      <c r="AD117" s="262"/>
      <c r="AE117" s="259"/>
      <c r="AF117" s="262"/>
      <c r="AG117" s="265"/>
      <c r="AH117" s="265"/>
      <c r="AI117" s="268"/>
      <c r="AJ117" s="271"/>
      <c r="AK117" s="271"/>
      <c r="AL117" s="210"/>
      <c r="AM117" s="280"/>
      <c r="AN117" s="259"/>
      <c r="AO117" s="259"/>
      <c r="AP117" s="219"/>
      <c r="AQ117" s="222"/>
      <c r="AR117" s="225"/>
    </row>
    <row r="118" spans="1:47" ht="12.75" thickBot="1" x14ac:dyDescent="0.25">
      <c r="A118" s="302"/>
      <c r="B118" s="305"/>
      <c r="C118" s="272"/>
      <c r="D118" s="305"/>
      <c r="E118" s="272"/>
      <c r="F118" s="272"/>
      <c r="G118" s="272"/>
      <c r="H118" s="272"/>
      <c r="I118" s="309"/>
      <c r="J118" s="286"/>
      <c r="K118" s="229"/>
      <c r="L118" s="232"/>
      <c r="M118" s="235"/>
      <c r="N118" s="232"/>
      <c r="O118" s="238"/>
      <c r="P118" s="235"/>
      <c r="Q118" s="232"/>
      <c r="R118" s="241"/>
      <c r="S118" s="295"/>
      <c r="T118" s="298"/>
      <c r="U118" s="232"/>
      <c r="V118" s="232"/>
      <c r="W118" s="232"/>
      <c r="X118" s="266"/>
      <c r="Y118" s="266"/>
      <c r="Z118" s="266"/>
      <c r="AA118" s="283"/>
      <c r="AB118" s="283"/>
      <c r="AC118" s="263"/>
      <c r="AD118" s="263"/>
      <c r="AE118" s="260"/>
      <c r="AF118" s="263"/>
      <c r="AG118" s="266"/>
      <c r="AH118" s="266"/>
      <c r="AI118" s="269"/>
      <c r="AJ118" s="272"/>
      <c r="AK118" s="272"/>
      <c r="AL118" s="211"/>
      <c r="AM118" s="281"/>
      <c r="AN118" s="260"/>
      <c r="AO118" s="260"/>
      <c r="AP118" s="220"/>
      <c r="AQ118" s="223"/>
      <c r="AR118" s="226"/>
      <c r="AS118" s="128"/>
    </row>
    <row r="119" spans="1:47" ht="12.75" x14ac:dyDescent="0.2">
      <c r="A119" s="118">
        <v>1</v>
      </c>
      <c r="B119" s="74" t="s">
        <v>135</v>
      </c>
      <c r="C119" s="74" t="s">
        <v>60</v>
      </c>
      <c r="D119" s="74" t="s">
        <v>109</v>
      </c>
      <c r="E119" s="112" t="s">
        <v>80</v>
      </c>
      <c r="F119" s="112">
        <v>26</v>
      </c>
      <c r="G119" s="118">
        <v>5.41</v>
      </c>
      <c r="H119" s="118">
        <v>17697</v>
      </c>
      <c r="I119" s="194">
        <f t="shared" ref="I119:I143" si="50">G119*H119</f>
        <v>95740.77</v>
      </c>
      <c r="J119" s="198">
        <f>I119*1.5</f>
        <v>143611.155</v>
      </c>
      <c r="K119" s="200"/>
      <c r="L119" s="118"/>
      <c r="M119" s="118">
        <v>15</v>
      </c>
      <c r="N119" s="95"/>
      <c r="O119" s="114"/>
      <c r="P119" s="94">
        <f t="shared" ref="P119:P143" si="51">J119/18*M119</f>
        <v>119675.96249999999</v>
      </c>
      <c r="Q119" s="95">
        <f t="shared" ref="Q119:Q142" si="52">J119/18*N119</f>
        <v>0</v>
      </c>
      <c r="R119" s="95">
        <f t="shared" ref="R119:R147" si="53">J119/18*O119</f>
        <v>0</v>
      </c>
      <c r="S119" s="115">
        <f t="shared" ref="S119:S139" si="54">(L119+P119+Q119+R119)*25%</f>
        <v>29918.990624999999</v>
      </c>
      <c r="T119" s="116">
        <f t="shared" ref="T119:T139" si="55">(P119+Q119+R119+L119+S119)*10%</f>
        <v>14959.495312500001</v>
      </c>
      <c r="U119" s="95"/>
      <c r="V119" s="95"/>
      <c r="W119" s="95"/>
      <c r="X119" s="95"/>
      <c r="Y119" s="95"/>
      <c r="Z119" s="95"/>
      <c r="AA119" s="95"/>
      <c r="AB119" s="95"/>
      <c r="AC119" s="95"/>
      <c r="AD119" s="95"/>
      <c r="AE119" s="95"/>
      <c r="AF119" s="51">
        <f>(P119+Q119+R119+S119)*40%</f>
        <v>59837.981250000004</v>
      </c>
      <c r="AG119" s="118"/>
      <c r="AH119" s="118"/>
      <c r="AI119" s="113"/>
      <c r="AJ119" s="95"/>
      <c r="AK119" s="95"/>
      <c r="AL119" s="95"/>
      <c r="AM119" s="156">
        <f>AU119</f>
        <v>44878.485937500001</v>
      </c>
      <c r="AN119" s="118"/>
      <c r="AO119" s="118"/>
      <c r="AP119" s="116">
        <f>AM119+AN119+AH119+AG119+AF119</f>
        <v>104716.46718750001</v>
      </c>
      <c r="AQ119" s="198">
        <f>P119+Q119+R119+S119+T119+X119+Y119+Z119+AA119+AB119+AC119+AD119+AE119+AF119+AG119+AH119+AI119+AJ119+AK119+AM119+AN119+AO119+L119</f>
        <v>269270.91562500002</v>
      </c>
      <c r="AR119" s="117">
        <f t="shared" ref="AR119:AR136" si="56">AQ119-AP119</f>
        <v>164554.44843750002</v>
      </c>
      <c r="AS119" s="95">
        <f t="shared" ref="AS119:AS139" si="57">J119*25%</f>
        <v>35902.78875</v>
      </c>
      <c r="AT119" s="117">
        <f t="shared" ref="AT119:AT139" si="58">AS119+J119</f>
        <v>179513.94375000001</v>
      </c>
      <c r="AU119" s="156">
        <f>AT119/18*(M119+N119+O119)*30%</f>
        <v>44878.485937500001</v>
      </c>
    </row>
    <row r="120" spans="1:47" ht="12.75" x14ac:dyDescent="0.2">
      <c r="A120" s="118">
        <v>2</v>
      </c>
      <c r="B120" s="119" t="s">
        <v>136</v>
      </c>
      <c r="C120" s="74" t="s">
        <v>60</v>
      </c>
      <c r="D120" s="74" t="s">
        <v>109</v>
      </c>
      <c r="E120" s="112" t="s">
        <v>80</v>
      </c>
      <c r="F120" s="112">
        <v>36</v>
      </c>
      <c r="G120" s="118">
        <v>5.41</v>
      </c>
      <c r="H120" s="118">
        <v>17697</v>
      </c>
      <c r="I120" s="194">
        <f t="shared" si="50"/>
        <v>95740.77</v>
      </c>
      <c r="J120" s="198">
        <f t="shared" ref="J120:J147" si="59">I120*1.5</f>
        <v>143611.155</v>
      </c>
      <c r="K120" s="200"/>
      <c r="L120" s="118"/>
      <c r="M120" s="118">
        <v>1</v>
      </c>
      <c r="N120" s="95"/>
      <c r="O120" s="114"/>
      <c r="P120" s="94">
        <f t="shared" si="51"/>
        <v>7978.3975</v>
      </c>
      <c r="Q120" s="95">
        <f t="shared" si="52"/>
        <v>0</v>
      </c>
      <c r="R120" s="95">
        <f t="shared" si="53"/>
        <v>0</v>
      </c>
      <c r="S120" s="115">
        <f t="shared" si="54"/>
        <v>1994.599375</v>
      </c>
      <c r="T120" s="116">
        <f t="shared" si="55"/>
        <v>997.29968750000012</v>
      </c>
      <c r="U120" s="95"/>
      <c r="V120" s="95"/>
      <c r="W120" s="95"/>
      <c r="X120" s="95"/>
      <c r="Y120" s="95"/>
      <c r="Z120" s="95"/>
      <c r="AA120" s="95"/>
      <c r="AB120" s="95"/>
      <c r="AC120" s="95"/>
      <c r="AD120" s="95"/>
      <c r="AE120" s="95"/>
      <c r="AF120" s="51">
        <f>(P120+Q120+R120+S120)*40%</f>
        <v>3989.1987500000005</v>
      </c>
      <c r="AG120" s="118"/>
      <c r="AH120" s="118"/>
      <c r="AI120" s="113"/>
      <c r="AJ120" s="95"/>
      <c r="AK120" s="95"/>
      <c r="AL120" s="95"/>
      <c r="AM120" s="156">
        <f t="shared" ref="AM120:AM147" si="60">AU120</f>
        <v>2991.8990625000001</v>
      </c>
      <c r="AN120" s="118"/>
      <c r="AO120" s="118"/>
      <c r="AP120" s="116">
        <f t="shared" ref="AP120:AP147" si="61">AM120+AN120+AH120+AG120+AF120</f>
        <v>6981.0978125000001</v>
      </c>
      <c r="AQ120" s="198">
        <f t="shared" ref="AQ120:AQ141" si="62">P120+Q120+R120+S120+T120+X120+Y120+Z120+AA120+AB120+AC120+AD120+AE120+AF120+AG120+AH120+AI120+AJ120+AK120+AM120+AN120+AO120+L120</f>
        <v>17951.394375000003</v>
      </c>
      <c r="AR120" s="117">
        <f t="shared" si="56"/>
        <v>10970.296562500003</v>
      </c>
      <c r="AS120" s="95">
        <f t="shared" si="57"/>
        <v>35902.78875</v>
      </c>
      <c r="AT120" s="117">
        <f t="shared" si="58"/>
        <v>179513.94375000001</v>
      </c>
      <c r="AU120" s="156">
        <f t="shared" ref="AU120:AU139" si="63">AT120/18*(M120+N120+O120)*30%</f>
        <v>2991.8990625000001</v>
      </c>
    </row>
    <row r="121" spans="1:47" ht="12.75" x14ac:dyDescent="0.2">
      <c r="A121" s="118">
        <v>3</v>
      </c>
      <c r="B121" s="74" t="s">
        <v>137</v>
      </c>
      <c r="C121" s="74" t="s">
        <v>60</v>
      </c>
      <c r="D121" s="74" t="s">
        <v>109</v>
      </c>
      <c r="E121" s="112" t="s">
        <v>80</v>
      </c>
      <c r="F121" s="112">
        <v>34</v>
      </c>
      <c r="G121" s="118">
        <v>5.41</v>
      </c>
      <c r="H121" s="118">
        <v>17697</v>
      </c>
      <c r="I121" s="194">
        <f t="shared" si="50"/>
        <v>95740.77</v>
      </c>
      <c r="J121" s="198">
        <f t="shared" si="59"/>
        <v>143611.155</v>
      </c>
      <c r="K121" s="200"/>
      <c r="L121" s="118"/>
      <c r="M121" s="118">
        <v>15</v>
      </c>
      <c r="N121" s="95"/>
      <c r="O121" s="114"/>
      <c r="P121" s="94">
        <f t="shared" si="51"/>
        <v>119675.96249999999</v>
      </c>
      <c r="Q121" s="95">
        <f t="shared" si="52"/>
        <v>0</v>
      </c>
      <c r="R121" s="95">
        <f t="shared" si="53"/>
        <v>0</v>
      </c>
      <c r="S121" s="115">
        <f t="shared" si="54"/>
        <v>29918.990624999999</v>
      </c>
      <c r="T121" s="116">
        <f t="shared" si="55"/>
        <v>14959.495312500001</v>
      </c>
      <c r="U121" s="95"/>
      <c r="V121" s="95"/>
      <c r="W121" s="95"/>
      <c r="X121" s="95"/>
      <c r="Y121" s="95"/>
      <c r="Z121" s="95"/>
      <c r="AA121" s="95"/>
      <c r="AB121" s="95"/>
      <c r="AC121" s="95"/>
      <c r="AD121" s="95"/>
      <c r="AE121" s="95"/>
      <c r="AF121" s="51">
        <v>0</v>
      </c>
      <c r="AG121" s="118"/>
      <c r="AH121" s="118"/>
      <c r="AI121" s="113"/>
      <c r="AJ121" s="95"/>
      <c r="AK121" s="95"/>
      <c r="AL121" s="95"/>
      <c r="AM121" s="156">
        <f t="shared" si="60"/>
        <v>44878.485937500001</v>
      </c>
      <c r="AN121" s="118"/>
      <c r="AO121" s="118"/>
      <c r="AP121" s="116">
        <f t="shared" si="61"/>
        <v>44878.485937500001</v>
      </c>
      <c r="AQ121" s="198">
        <f t="shared" si="62"/>
        <v>209432.93437499998</v>
      </c>
      <c r="AR121" s="117">
        <f t="shared" si="56"/>
        <v>164554.44843749999</v>
      </c>
      <c r="AS121" s="95">
        <f t="shared" si="57"/>
        <v>35902.78875</v>
      </c>
      <c r="AT121" s="117">
        <f t="shared" si="58"/>
        <v>179513.94375000001</v>
      </c>
      <c r="AU121" s="156">
        <f t="shared" si="63"/>
        <v>44878.485937500001</v>
      </c>
    </row>
    <row r="122" spans="1:47" ht="12.75" x14ac:dyDescent="0.2">
      <c r="A122" s="118">
        <v>4</v>
      </c>
      <c r="B122" s="74" t="s">
        <v>199</v>
      </c>
      <c r="C122" s="74" t="s">
        <v>60</v>
      </c>
      <c r="D122" s="74" t="s">
        <v>132</v>
      </c>
      <c r="E122" s="112" t="s">
        <v>80</v>
      </c>
      <c r="F122" s="112">
        <v>10</v>
      </c>
      <c r="G122" s="118">
        <v>5.08</v>
      </c>
      <c r="H122" s="118">
        <v>17697</v>
      </c>
      <c r="I122" s="194">
        <f t="shared" si="50"/>
        <v>89900.76</v>
      </c>
      <c r="J122" s="198">
        <f t="shared" si="59"/>
        <v>134851.13999999998</v>
      </c>
      <c r="K122" s="200"/>
      <c r="L122" s="118"/>
      <c r="M122" s="118">
        <v>2</v>
      </c>
      <c r="N122" s="95"/>
      <c r="O122" s="114"/>
      <c r="P122" s="94">
        <f t="shared" si="51"/>
        <v>14983.46</v>
      </c>
      <c r="Q122" s="95">
        <f t="shared" si="52"/>
        <v>0</v>
      </c>
      <c r="R122" s="95">
        <f t="shared" si="53"/>
        <v>0</v>
      </c>
      <c r="S122" s="115">
        <f t="shared" si="54"/>
        <v>3745.8649999999998</v>
      </c>
      <c r="T122" s="116">
        <f t="shared" si="55"/>
        <v>1872.9324999999999</v>
      </c>
      <c r="U122" s="95"/>
      <c r="V122" s="95"/>
      <c r="W122" s="95"/>
      <c r="X122" s="95"/>
      <c r="Y122" s="95"/>
      <c r="Z122" s="95"/>
      <c r="AA122" s="95"/>
      <c r="AB122" s="95"/>
      <c r="AC122" s="95"/>
      <c r="AD122" s="95"/>
      <c r="AE122" s="95"/>
      <c r="AF122" s="51">
        <f>(P122+Q122+R122+S122)*40%</f>
        <v>7491.73</v>
      </c>
      <c r="AG122" s="118"/>
      <c r="AH122" s="118"/>
      <c r="AI122" s="113"/>
      <c r="AJ122" s="95"/>
      <c r="AK122" s="95"/>
      <c r="AL122" s="95"/>
      <c r="AM122" s="156">
        <f t="shared" si="60"/>
        <v>5618.7974999999988</v>
      </c>
      <c r="AN122" s="118"/>
      <c r="AO122" s="118"/>
      <c r="AP122" s="116">
        <f t="shared" si="61"/>
        <v>13110.527499999998</v>
      </c>
      <c r="AQ122" s="198">
        <f t="shared" si="62"/>
        <v>33712.784999999996</v>
      </c>
      <c r="AR122" s="117">
        <f t="shared" si="56"/>
        <v>20602.2575</v>
      </c>
      <c r="AS122" s="95">
        <f t="shared" si="57"/>
        <v>33712.784999999996</v>
      </c>
      <c r="AT122" s="117">
        <f t="shared" si="58"/>
        <v>168563.92499999999</v>
      </c>
      <c r="AU122" s="156">
        <f t="shared" si="63"/>
        <v>5618.7974999999988</v>
      </c>
    </row>
    <row r="123" spans="1:47" ht="12.75" x14ac:dyDescent="0.2">
      <c r="A123" s="118">
        <v>5</v>
      </c>
      <c r="B123" s="119" t="s">
        <v>138</v>
      </c>
      <c r="C123" s="82" t="s">
        <v>60</v>
      </c>
      <c r="D123" s="74" t="s">
        <v>139</v>
      </c>
      <c r="E123" s="112" t="s">
        <v>80</v>
      </c>
      <c r="F123" s="112">
        <v>22.02</v>
      </c>
      <c r="G123" s="118">
        <v>5.32</v>
      </c>
      <c r="H123" s="118">
        <v>17697</v>
      </c>
      <c r="I123" s="194">
        <f t="shared" si="50"/>
        <v>94148.040000000008</v>
      </c>
      <c r="J123" s="198">
        <f t="shared" si="59"/>
        <v>141222.06</v>
      </c>
      <c r="K123" s="200"/>
      <c r="L123" s="118"/>
      <c r="M123" s="118">
        <v>3</v>
      </c>
      <c r="N123" s="95"/>
      <c r="O123" s="114"/>
      <c r="P123" s="94">
        <f t="shared" si="51"/>
        <v>23537.010000000002</v>
      </c>
      <c r="Q123" s="95">
        <f t="shared" si="52"/>
        <v>0</v>
      </c>
      <c r="R123" s="95">
        <f t="shared" si="53"/>
        <v>0</v>
      </c>
      <c r="S123" s="115">
        <f t="shared" si="54"/>
        <v>5884.2525000000005</v>
      </c>
      <c r="T123" s="116">
        <f t="shared" si="55"/>
        <v>2942.1262500000007</v>
      </c>
      <c r="U123" s="95"/>
      <c r="V123" s="95"/>
      <c r="W123" s="95"/>
      <c r="X123" s="95"/>
      <c r="Y123" s="95"/>
      <c r="Z123" s="95"/>
      <c r="AA123" s="95"/>
      <c r="AB123" s="95"/>
      <c r="AC123" s="95"/>
      <c r="AD123" s="95"/>
      <c r="AE123" s="95"/>
      <c r="AF123" s="51">
        <f>(P123+Q123+R123+S123)*40%</f>
        <v>11768.505000000003</v>
      </c>
      <c r="AG123" s="118"/>
      <c r="AH123" s="118"/>
      <c r="AI123" s="113"/>
      <c r="AJ123" s="95"/>
      <c r="AK123" s="95"/>
      <c r="AL123" s="95"/>
      <c r="AM123" s="156">
        <f t="shared" si="60"/>
        <v>8826.3787500000017</v>
      </c>
      <c r="AN123" s="118"/>
      <c r="AO123" s="118"/>
      <c r="AP123" s="116">
        <f t="shared" si="61"/>
        <v>20594.883750000005</v>
      </c>
      <c r="AQ123" s="198">
        <f t="shared" si="62"/>
        <v>52958.272500000014</v>
      </c>
      <c r="AR123" s="117">
        <f t="shared" si="56"/>
        <v>32363.388750000009</v>
      </c>
      <c r="AS123" s="95">
        <f t="shared" si="57"/>
        <v>35305.514999999999</v>
      </c>
      <c r="AT123" s="117">
        <f t="shared" si="58"/>
        <v>176527.57500000001</v>
      </c>
      <c r="AU123" s="156">
        <f t="shared" si="63"/>
        <v>8826.3787500000017</v>
      </c>
    </row>
    <row r="124" spans="1:47" ht="12.75" x14ac:dyDescent="0.2">
      <c r="A124" s="118">
        <v>6</v>
      </c>
      <c r="B124" s="119" t="s">
        <v>140</v>
      </c>
      <c r="C124" s="74" t="s">
        <v>60</v>
      </c>
      <c r="D124" s="119" t="s">
        <v>131</v>
      </c>
      <c r="E124" s="112" t="s">
        <v>80</v>
      </c>
      <c r="F124" s="112">
        <v>22</v>
      </c>
      <c r="G124" s="118">
        <v>5.32</v>
      </c>
      <c r="H124" s="118">
        <v>17697</v>
      </c>
      <c r="I124" s="197">
        <f t="shared" si="50"/>
        <v>94148.040000000008</v>
      </c>
      <c r="J124" s="198">
        <f t="shared" si="59"/>
        <v>141222.06</v>
      </c>
      <c r="K124" s="200"/>
      <c r="L124" s="118"/>
      <c r="M124" s="118">
        <v>3</v>
      </c>
      <c r="N124" s="95"/>
      <c r="O124" s="114"/>
      <c r="P124" s="94">
        <f t="shared" si="51"/>
        <v>23537.010000000002</v>
      </c>
      <c r="Q124" s="95">
        <f t="shared" si="52"/>
        <v>0</v>
      </c>
      <c r="R124" s="95">
        <f t="shared" si="53"/>
        <v>0</v>
      </c>
      <c r="S124" s="115">
        <f t="shared" si="54"/>
        <v>5884.2525000000005</v>
      </c>
      <c r="T124" s="116">
        <f t="shared" si="55"/>
        <v>2942.1262500000007</v>
      </c>
      <c r="U124" s="95"/>
      <c r="V124" s="95"/>
      <c r="W124" s="95"/>
      <c r="X124" s="95"/>
      <c r="Y124" s="95"/>
      <c r="Z124" s="95"/>
      <c r="AA124" s="95"/>
      <c r="AB124" s="95"/>
      <c r="AC124" s="95"/>
      <c r="AD124" s="95"/>
      <c r="AE124" s="95"/>
      <c r="AF124" s="51">
        <f>(P124+Q124+R124+S124)*40%</f>
        <v>11768.505000000003</v>
      </c>
      <c r="AG124" s="118"/>
      <c r="AH124" s="118"/>
      <c r="AI124" s="113"/>
      <c r="AJ124" s="95"/>
      <c r="AK124" s="95"/>
      <c r="AL124" s="95"/>
      <c r="AM124" s="156">
        <f t="shared" si="60"/>
        <v>8826.3787500000017</v>
      </c>
      <c r="AN124" s="95"/>
      <c r="AO124" s="95"/>
      <c r="AP124" s="116">
        <f t="shared" si="61"/>
        <v>20594.883750000005</v>
      </c>
      <c r="AQ124" s="198">
        <f t="shared" si="62"/>
        <v>52958.272500000014</v>
      </c>
      <c r="AR124" s="117">
        <f t="shared" si="56"/>
        <v>32363.388750000009</v>
      </c>
      <c r="AS124" s="95">
        <f t="shared" si="57"/>
        <v>35305.514999999999</v>
      </c>
      <c r="AT124" s="117">
        <f t="shared" si="58"/>
        <v>176527.57500000001</v>
      </c>
      <c r="AU124" s="156">
        <f t="shared" si="63"/>
        <v>8826.3787500000017</v>
      </c>
    </row>
    <row r="125" spans="1:47" ht="12.75" x14ac:dyDescent="0.2">
      <c r="A125" s="118">
        <v>7</v>
      </c>
      <c r="B125" s="74" t="s">
        <v>141</v>
      </c>
      <c r="C125" s="74" t="s">
        <v>60</v>
      </c>
      <c r="D125" s="74" t="s">
        <v>139</v>
      </c>
      <c r="E125" s="112" t="s">
        <v>81</v>
      </c>
      <c r="F125" s="112">
        <v>14</v>
      </c>
      <c r="G125" s="118">
        <v>4.95</v>
      </c>
      <c r="H125" s="118">
        <v>17697</v>
      </c>
      <c r="I125" s="197">
        <f t="shared" si="50"/>
        <v>87600.150000000009</v>
      </c>
      <c r="J125" s="198">
        <f t="shared" si="59"/>
        <v>131400.22500000001</v>
      </c>
      <c r="K125" s="200"/>
      <c r="L125" s="118"/>
      <c r="M125" s="118">
        <v>3</v>
      </c>
      <c r="N125" s="95"/>
      <c r="O125" s="114"/>
      <c r="P125" s="94">
        <f t="shared" si="51"/>
        <v>21900.037500000002</v>
      </c>
      <c r="Q125" s="95">
        <f t="shared" si="52"/>
        <v>0</v>
      </c>
      <c r="R125" s="95">
        <f t="shared" si="53"/>
        <v>0</v>
      </c>
      <c r="S125" s="115">
        <f t="shared" si="54"/>
        <v>5475.0093750000005</v>
      </c>
      <c r="T125" s="116">
        <f t="shared" si="55"/>
        <v>2737.5046875000007</v>
      </c>
      <c r="U125" s="95"/>
      <c r="V125" s="95"/>
      <c r="W125" s="95"/>
      <c r="X125" s="95"/>
      <c r="Y125" s="95"/>
      <c r="Z125" s="95"/>
      <c r="AA125" s="95"/>
      <c r="AB125" s="95"/>
      <c r="AC125" s="95"/>
      <c r="AD125" s="95"/>
      <c r="AE125" s="95"/>
      <c r="AF125" s="51">
        <v>0</v>
      </c>
      <c r="AG125" s="51">
        <f>(Q125+R125+S125+P125)*35%</f>
        <v>9581.2664062500007</v>
      </c>
      <c r="AH125" s="51">
        <v>0</v>
      </c>
      <c r="AI125" s="113"/>
      <c r="AJ125" s="95"/>
      <c r="AK125" s="95"/>
      <c r="AL125" s="95"/>
      <c r="AM125" s="156">
        <f t="shared" si="60"/>
        <v>8212.5140625000004</v>
      </c>
      <c r="AN125" s="95"/>
      <c r="AO125" s="95"/>
      <c r="AP125" s="116">
        <f t="shared" si="61"/>
        <v>17793.780468750003</v>
      </c>
      <c r="AQ125" s="198">
        <f t="shared" si="62"/>
        <v>47906.332031250007</v>
      </c>
      <c r="AR125" s="117">
        <f t="shared" si="56"/>
        <v>30112.551562500004</v>
      </c>
      <c r="AS125" s="95">
        <f t="shared" si="57"/>
        <v>32850.056250000001</v>
      </c>
      <c r="AT125" s="117">
        <f t="shared" si="58"/>
        <v>164250.28125</v>
      </c>
      <c r="AU125" s="156">
        <f t="shared" si="63"/>
        <v>8212.5140625000004</v>
      </c>
    </row>
    <row r="126" spans="1:47" ht="12.75" x14ac:dyDescent="0.2">
      <c r="A126" s="118">
        <v>8</v>
      </c>
      <c r="B126" s="74" t="s">
        <v>142</v>
      </c>
      <c r="C126" s="74" t="s">
        <v>60</v>
      </c>
      <c r="D126" s="74" t="s">
        <v>139</v>
      </c>
      <c r="E126" s="112" t="s">
        <v>80</v>
      </c>
      <c r="F126" s="112">
        <v>9</v>
      </c>
      <c r="G126" s="118">
        <v>5.01</v>
      </c>
      <c r="H126" s="118">
        <v>17697</v>
      </c>
      <c r="I126" s="197">
        <f t="shared" si="50"/>
        <v>88661.97</v>
      </c>
      <c r="J126" s="198">
        <f t="shared" si="59"/>
        <v>132992.95500000002</v>
      </c>
      <c r="K126" s="200"/>
      <c r="L126" s="118"/>
      <c r="M126" s="118">
        <v>3</v>
      </c>
      <c r="N126" s="95"/>
      <c r="O126" s="114"/>
      <c r="P126" s="94">
        <f t="shared" si="51"/>
        <v>22165.492500000004</v>
      </c>
      <c r="Q126" s="95">
        <f t="shared" si="52"/>
        <v>0</v>
      </c>
      <c r="R126" s="95">
        <f t="shared" si="53"/>
        <v>0</v>
      </c>
      <c r="S126" s="115">
        <f t="shared" si="54"/>
        <v>5541.373125000001</v>
      </c>
      <c r="T126" s="116">
        <f t="shared" si="55"/>
        <v>2770.6865625000009</v>
      </c>
      <c r="U126" s="95"/>
      <c r="V126" s="95"/>
      <c r="W126" s="95"/>
      <c r="X126" s="95"/>
      <c r="Y126" s="95"/>
      <c r="Z126" s="95"/>
      <c r="AA126" s="95"/>
      <c r="AB126" s="95"/>
      <c r="AC126" s="95"/>
      <c r="AD126" s="95"/>
      <c r="AE126" s="95"/>
      <c r="AF126" s="51">
        <f>(P126+Q126+R126+S126)*40%</f>
        <v>11082.746250000004</v>
      </c>
      <c r="AG126" s="51"/>
      <c r="AH126" s="51">
        <v>0</v>
      </c>
      <c r="AI126" s="113"/>
      <c r="AJ126" s="95"/>
      <c r="AK126" s="95"/>
      <c r="AL126" s="95"/>
      <c r="AM126" s="156">
        <f t="shared" si="60"/>
        <v>8312.059687500001</v>
      </c>
      <c r="AN126" s="95"/>
      <c r="AO126" s="95"/>
      <c r="AP126" s="116">
        <f t="shared" si="61"/>
        <v>19394.805937500005</v>
      </c>
      <c r="AQ126" s="198">
        <f t="shared" si="62"/>
        <v>49872.358125000013</v>
      </c>
      <c r="AR126" s="117">
        <f t="shared" si="56"/>
        <v>30477.552187500009</v>
      </c>
      <c r="AS126" s="95">
        <f t="shared" si="57"/>
        <v>33248.238750000004</v>
      </c>
      <c r="AT126" s="117">
        <f t="shared" si="58"/>
        <v>166241.19375000003</v>
      </c>
      <c r="AU126" s="156">
        <f t="shared" si="63"/>
        <v>8312.059687500001</v>
      </c>
    </row>
    <row r="127" spans="1:47" ht="12.75" x14ac:dyDescent="0.2">
      <c r="A127" s="118">
        <v>9</v>
      </c>
      <c r="B127" s="112" t="s">
        <v>144</v>
      </c>
      <c r="C127" s="112" t="s">
        <v>60</v>
      </c>
      <c r="D127" s="112" t="s">
        <v>109</v>
      </c>
      <c r="E127" s="112" t="s">
        <v>81</v>
      </c>
      <c r="F127" s="112">
        <v>17</v>
      </c>
      <c r="G127" s="118">
        <v>5.03</v>
      </c>
      <c r="H127" s="118">
        <v>17697</v>
      </c>
      <c r="I127" s="197">
        <f t="shared" si="50"/>
        <v>89015.91</v>
      </c>
      <c r="J127" s="198">
        <f t="shared" si="59"/>
        <v>133523.86499999999</v>
      </c>
      <c r="K127" s="200"/>
      <c r="L127" s="118"/>
      <c r="M127" s="118">
        <v>16</v>
      </c>
      <c r="N127" s="95"/>
      <c r="O127" s="114"/>
      <c r="P127" s="94">
        <f t="shared" si="51"/>
        <v>118687.87999999999</v>
      </c>
      <c r="Q127" s="95">
        <f t="shared" si="52"/>
        <v>0</v>
      </c>
      <c r="R127" s="95">
        <f t="shared" si="53"/>
        <v>0</v>
      </c>
      <c r="S127" s="115">
        <f t="shared" si="54"/>
        <v>29671.969999999998</v>
      </c>
      <c r="T127" s="116">
        <f t="shared" si="55"/>
        <v>14835.984999999999</v>
      </c>
      <c r="U127" s="95"/>
      <c r="V127" s="95"/>
      <c r="W127" s="95"/>
      <c r="X127" s="95"/>
      <c r="Y127" s="95"/>
      <c r="Z127" s="95"/>
      <c r="AA127" s="95"/>
      <c r="AB127" s="95"/>
      <c r="AC127" s="95"/>
      <c r="AD127" s="95"/>
      <c r="AE127" s="95"/>
      <c r="AF127" s="51">
        <v>0</v>
      </c>
      <c r="AG127" s="51">
        <f>(Q127+R127+S127+P127)*35%</f>
        <v>51925.947499999987</v>
      </c>
      <c r="AH127" s="51">
        <v>0</v>
      </c>
      <c r="AI127" s="113"/>
      <c r="AJ127" s="95"/>
      <c r="AK127" s="95"/>
      <c r="AL127" s="95"/>
      <c r="AM127" s="156">
        <f t="shared" si="60"/>
        <v>44507.954999999994</v>
      </c>
      <c r="AN127" s="95"/>
      <c r="AO127" s="95"/>
      <c r="AP127" s="116">
        <f t="shared" si="61"/>
        <v>96433.902499999982</v>
      </c>
      <c r="AQ127" s="198">
        <f t="shared" si="62"/>
        <v>259629.73749999993</v>
      </c>
      <c r="AR127" s="117">
        <f t="shared" si="56"/>
        <v>163195.83499999996</v>
      </c>
      <c r="AS127" s="95">
        <f t="shared" si="57"/>
        <v>33380.966249999998</v>
      </c>
      <c r="AT127" s="117">
        <f t="shared" si="58"/>
        <v>166904.83124999999</v>
      </c>
      <c r="AU127" s="156">
        <f t="shared" si="63"/>
        <v>44507.954999999994</v>
      </c>
    </row>
    <row r="128" spans="1:47" ht="12.75" x14ac:dyDescent="0.2">
      <c r="A128" s="118">
        <v>10</v>
      </c>
      <c r="B128" s="112" t="s">
        <v>146</v>
      </c>
      <c r="C128" s="112" t="s">
        <v>60</v>
      </c>
      <c r="D128" s="112" t="s">
        <v>139</v>
      </c>
      <c r="E128" s="112" t="s">
        <v>80</v>
      </c>
      <c r="F128" s="112">
        <v>11.06</v>
      </c>
      <c r="G128" s="118">
        <v>5.08</v>
      </c>
      <c r="H128" s="118">
        <v>17697</v>
      </c>
      <c r="I128" s="197">
        <f t="shared" si="50"/>
        <v>89900.76</v>
      </c>
      <c r="J128" s="198">
        <f t="shared" si="59"/>
        <v>134851.13999999998</v>
      </c>
      <c r="K128" s="200"/>
      <c r="L128" s="118"/>
      <c r="M128" s="118">
        <v>3</v>
      </c>
      <c r="N128" s="95"/>
      <c r="O128" s="114"/>
      <c r="P128" s="94">
        <f t="shared" si="51"/>
        <v>22475.19</v>
      </c>
      <c r="Q128" s="95">
        <f t="shared" si="52"/>
        <v>0</v>
      </c>
      <c r="R128" s="95">
        <f t="shared" si="53"/>
        <v>0</v>
      </c>
      <c r="S128" s="115">
        <f t="shared" si="54"/>
        <v>5618.7974999999997</v>
      </c>
      <c r="T128" s="116">
        <f t="shared" si="55"/>
        <v>2809.3987500000003</v>
      </c>
      <c r="U128" s="95"/>
      <c r="V128" s="95"/>
      <c r="W128" s="95"/>
      <c r="X128" s="95"/>
      <c r="Y128" s="95"/>
      <c r="Z128" s="95"/>
      <c r="AA128" s="95"/>
      <c r="AB128" s="95"/>
      <c r="AC128" s="95"/>
      <c r="AD128" s="95"/>
      <c r="AE128" s="95"/>
      <c r="AF128" s="51">
        <f>(P128+Q128+R128+S128)*40%</f>
        <v>11237.595000000001</v>
      </c>
      <c r="AG128" s="51">
        <v>0</v>
      </c>
      <c r="AH128" s="51">
        <v>0</v>
      </c>
      <c r="AI128" s="113"/>
      <c r="AJ128" s="95"/>
      <c r="AK128" s="95"/>
      <c r="AL128" s="95"/>
      <c r="AM128" s="156">
        <f t="shared" si="60"/>
        <v>8428.1962499999991</v>
      </c>
      <c r="AN128" s="95"/>
      <c r="AO128" s="95"/>
      <c r="AP128" s="116">
        <f t="shared" si="61"/>
        <v>19665.791250000002</v>
      </c>
      <c r="AQ128" s="198">
        <f t="shared" si="62"/>
        <v>50569.177499999998</v>
      </c>
      <c r="AR128" s="117">
        <f t="shared" si="56"/>
        <v>30903.386249999996</v>
      </c>
      <c r="AS128" s="95">
        <f t="shared" si="57"/>
        <v>33712.784999999996</v>
      </c>
      <c r="AT128" s="117">
        <f t="shared" si="58"/>
        <v>168563.92499999999</v>
      </c>
      <c r="AU128" s="156">
        <f t="shared" si="63"/>
        <v>8428.1962499999991</v>
      </c>
    </row>
    <row r="129" spans="1:47" ht="12.75" x14ac:dyDescent="0.2">
      <c r="A129" s="118">
        <v>11</v>
      </c>
      <c r="B129" s="112" t="s">
        <v>143</v>
      </c>
      <c r="C129" s="112" t="s">
        <v>60</v>
      </c>
      <c r="D129" s="112" t="s">
        <v>108</v>
      </c>
      <c r="E129" s="112" t="s">
        <v>82</v>
      </c>
      <c r="F129" s="112">
        <v>14.07</v>
      </c>
      <c r="G129" s="118">
        <v>4.9000000000000004</v>
      </c>
      <c r="H129" s="118">
        <v>17697</v>
      </c>
      <c r="I129" s="197">
        <f t="shared" si="50"/>
        <v>86715.3</v>
      </c>
      <c r="J129" s="198">
        <f t="shared" si="59"/>
        <v>130072.95000000001</v>
      </c>
      <c r="K129" s="200"/>
      <c r="L129" s="118"/>
      <c r="M129" s="118">
        <v>3</v>
      </c>
      <c r="N129" s="95"/>
      <c r="O129" s="114"/>
      <c r="P129" s="94">
        <f t="shared" si="51"/>
        <v>21678.825000000001</v>
      </c>
      <c r="Q129" s="95">
        <f t="shared" si="52"/>
        <v>0</v>
      </c>
      <c r="R129" s="95">
        <f t="shared" si="53"/>
        <v>0</v>
      </c>
      <c r="S129" s="115">
        <f t="shared" si="54"/>
        <v>5419.7062500000002</v>
      </c>
      <c r="T129" s="116">
        <f t="shared" si="55"/>
        <v>2709.8531250000001</v>
      </c>
      <c r="U129" s="95"/>
      <c r="V129" s="95"/>
      <c r="W129" s="95"/>
      <c r="X129" s="95"/>
      <c r="Y129" s="95"/>
      <c r="Z129" s="95"/>
      <c r="AA129" s="95"/>
      <c r="AB129" s="95"/>
      <c r="AC129" s="95"/>
      <c r="AD129" s="95"/>
      <c r="AE129" s="95"/>
      <c r="AF129" s="51">
        <v>0</v>
      </c>
      <c r="AG129" s="51">
        <v>0</v>
      </c>
      <c r="AH129" s="51">
        <v>0</v>
      </c>
      <c r="AI129" s="113"/>
      <c r="AJ129" s="95"/>
      <c r="AK129" s="95"/>
      <c r="AL129" s="95"/>
      <c r="AM129" s="156">
        <f t="shared" si="60"/>
        <v>8129.5593749999998</v>
      </c>
      <c r="AN129" s="95"/>
      <c r="AO129" s="95"/>
      <c r="AP129" s="116">
        <f t="shared" si="61"/>
        <v>8129.5593749999998</v>
      </c>
      <c r="AQ129" s="198">
        <f t="shared" si="62"/>
        <v>37937.943749999999</v>
      </c>
      <c r="AR129" s="117">
        <f t="shared" si="56"/>
        <v>29808.384374999998</v>
      </c>
      <c r="AS129" s="95">
        <f t="shared" si="57"/>
        <v>32518.237500000003</v>
      </c>
      <c r="AT129" s="117">
        <f t="shared" si="58"/>
        <v>162591.1875</v>
      </c>
      <c r="AU129" s="156">
        <f t="shared" si="63"/>
        <v>8129.5593749999998</v>
      </c>
    </row>
    <row r="130" spans="1:47" ht="12.75" x14ac:dyDescent="0.2">
      <c r="A130" s="118">
        <v>12</v>
      </c>
      <c r="B130" s="112" t="s">
        <v>145</v>
      </c>
      <c r="C130" s="112" t="s">
        <v>60</v>
      </c>
      <c r="D130" s="112" t="s">
        <v>139</v>
      </c>
      <c r="E130" s="112" t="s">
        <v>91</v>
      </c>
      <c r="F130" s="112">
        <v>7.11</v>
      </c>
      <c r="G130" s="118">
        <v>4.33</v>
      </c>
      <c r="H130" s="118">
        <v>17697</v>
      </c>
      <c r="I130" s="197">
        <f t="shared" si="50"/>
        <v>76628.009999999995</v>
      </c>
      <c r="J130" s="198">
        <f t="shared" si="59"/>
        <v>114942.01499999998</v>
      </c>
      <c r="K130" s="200"/>
      <c r="L130" s="118"/>
      <c r="M130" s="118">
        <v>3</v>
      </c>
      <c r="N130" s="95"/>
      <c r="O130" s="114"/>
      <c r="P130" s="94">
        <f t="shared" si="51"/>
        <v>19157.002499999999</v>
      </c>
      <c r="Q130" s="95">
        <f t="shared" si="52"/>
        <v>0</v>
      </c>
      <c r="R130" s="95">
        <f t="shared" si="53"/>
        <v>0</v>
      </c>
      <c r="S130" s="115">
        <f t="shared" si="54"/>
        <v>4789.2506249999997</v>
      </c>
      <c r="T130" s="116">
        <f t="shared" si="55"/>
        <v>2394.6253124999998</v>
      </c>
      <c r="U130" s="95"/>
      <c r="V130" s="95"/>
      <c r="W130" s="95"/>
      <c r="X130" s="95"/>
      <c r="Y130" s="95"/>
      <c r="Z130" s="95"/>
      <c r="AA130" s="95"/>
      <c r="AB130" s="95"/>
      <c r="AC130" s="95"/>
      <c r="AD130" s="95"/>
      <c r="AE130" s="95"/>
      <c r="AF130" s="51">
        <v>0</v>
      </c>
      <c r="AG130" s="51">
        <v>0</v>
      </c>
      <c r="AH130" s="51">
        <f t="shared" ref="AH130:AH132" si="64">(R130+S130+Q130+P130)*30%</f>
        <v>7183.8759375</v>
      </c>
      <c r="AI130" s="113"/>
      <c r="AJ130" s="95"/>
      <c r="AK130" s="95"/>
      <c r="AL130" s="95"/>
      <c r="AM130" s="156">
        <f t="shared" si="60"/>
        <v>7183.8759375</v>
      </c>
      <c r="AN130" s="95"/>
      <c r="AO130" s="95"/>
      <c r="AP130" s="116">
        <f t="shared" si="61"/>
        <v>14367.751875</v>
      </c>
      <c r="AQ130" s="198">
        <f t="shared" si="62"/>
        <v>40708.630312499998</v>
      </c>
      <c r="AR130" s="117">
        <f t="shared" si="56"/>
        <v>26340.878437499996</v>
      </c>
      <c r="AS130" s="95">
        <f t="shared" si="57"/>
        <v>28735.503749999996</v>
      </c>
      <c r="AT130" s="117">
        <f t="shared" si="58"/>
        <v>143677.51874999999</v>
      </c>
      <c r="AU130" s="156">
        <f t="shared" si="63"/>
        <v>7183.8759375</v>
      </c>
    </row>
    <row r="131" spans="1:47" ht="12.75" x14ac:dyDescent="0.2">
      <c r="A131" s="118">
        <v>13</v>
      </c>
      <c r="B131" s="112" t="s">
        <v>147</v>
      </c>
      <c r="C131" s="112" t="s">
        <v>60</v>
      </c>
      <c r="D131" s="112" t="s">
        <v>108</v>
      </c>
      <c r="E131" s="112" t="s">
        <v>82</v>
      </c>
      <c r="F131" s="112">
        <v>3.03</v>
      </c>
      <c r="G131" s="118">
        <v>4.59</v>
      </c>
      <c r="H131" s="118">
        <v>17697</v>
      </c>
      <c r="I131" s="197">
        <f t="shared" si="50"/>
        <v>81229.23</v>
      </c>
      <c r="J131" s="198">
        <f t="shared" si="59"/>
        <v>121843.845</v>
      </c>
      <c r="K131" s="200"/>
      <c r="L131" s="118"/>
      <c r="M131" s="118">
        <v>7</v>
      </c>
      <c r="N131" s="95"/>
      <c r="O131" s="114"/>
      <c r="P131" s="94">
        <f t="shared" si="51"/>
        <v>47383.717499999999</v>
      </c>
      <c r="Q131" s="95">
        <f t="shared" si="52"/>
        <v>0</v>
      </c>
      <c r="R131" s="95">
        <f t="shared" si="53"/>
        <v>0</v>
      </c>
      <c r="S131" s="115">
        <f t="shared" si="54"/>
        <v>11845.929375</v>
      </c>
      <c r="T131" s="116">
        <f t="shared" si="55"/>
        <v>5922.9646874999999</v>
      </c>
      <c r="U131" s="95"/>
      <c r="V131" s="95"/>
      <c r="W131" s="95"/>
      <c r="X131" s="95"/>
      <c r="Y131" s="95"/>
      <c r="Z131" s="95"/>
      <c r="AA131" s="95"/>
      <c r="AB131" s="95"/>
      <c r="AC131" s="95"/>
      <c r="AD131" s="95"/>
      <c r="AE131" s="95"/>
      <c r="AF131" s="51">
        <v>0</v>
      </c>
      <c r="AG131" s="51">
        <v>0</v>
      </c>
      <c r="AH131" s="51">
        <f t="shared" si="64"/>
        <v>17768.8940625</v>
      </c>
      <c r="AI131" s="113"/>
      <c r="AJ131" s="95"/>
      <c r="AK131" s="95"/>
      <c r="AL131" s="95"/>
      <c r="AM131" s="156">
        <f t="shared" si="60"/>
        <v>17768.894062499996</v>
      </c>
      <c r="AN131" s="95"/>
      <c r="AO131" s="95"/>
      <c r="AP131" s="116">
        <f t="shared" si="61"/>
        <v>35537.788124999992</v>
      </c>
      <c r="AQ131" s="198">
        <f t="shared" si="62"/>
        <v>100690.39968749999</v>
      </c>
      <c r="AR131" s="117">
        <f t="shared" si="56"/>
        <v>65152.611562499995</v>
      </c>
      <c r="AS131" s="95">
        <f t="shared" si="57"/>
        <v>30460.96125</v>
      </c>
      <c r="AT131" s="117">
        <f t="shared" si="58"/>
        <v>152304.80624999999</v>
      </c>
      <c r="AU131" s="156">
        <f t="shared" si="63"/>
        <v>17768.894062499996</v>
      </c>
    </row>
    <row r="132" spans="1:47" ht="12.75" x14ac:dyDescent="0.2">
      <c r="A132" s="118">
        <v>14</v>
      </c>
      <c r="B132" s="112" t="s">
        <v>148</v>
      </c>
      <c r="C132" s="112" t="s">
        <v>60</v>
      </c>
      <c r="D132" s="112" t="s">
        <v>109</v>
      </c>
      <c r="E132" s="112" t="s">
        <v>82</v>
      </c>
      <c r="F132" s="112">
        <v>10.01</v>
      </c>
      <c r="G132" s="118">
        <v>4.8099999999999996</v>
      </c>
      <c r="H132" s="118">
        <v>17697</v>
      </c>
      <c r="I132" s="197">
        <f t="shared" si="50"/>
        <v>85122.569999999992</v>
      </c>
      <c r="J132" s="198">
        <f t="shared" si="59"/>
        <v>127683.85499999998</v>
      </c>
      <c r="K132" s="200"/>
      <c r="L132" s="118"/>
      <c r="M132" s="118">
        <v>17</v>
      </c>
      <c r="N132" s="95"/>
      <c r="O132" s="114"/>
      <c r="P132" s="94">
        <f t="shared" si="51"/>
        <v>120590.30749999998</v>
      </c>
      <c r="Q132" s="95">
        <f t="shared" si="52"/>
        <v>0</v>
      </c>
      <c r="R132" s="95">
        <f t="shared" si="53"/>
        <v>0</v>
      </c>
      <c r="S132" s="115">
        <f t="shared" si="54"/>
        <v>30147.576874999995</v>
      </c>
      <c r="T132" s="116">
        <f t="shared" si="55"/>
        <v>15073.788437499998</v>
      </c>
      <c r="U132" s="95"/>
      <c r="V132" s="95"/>
      <c r="W132" s="95"/>
      <c r="X132" s="95"/>
      <c r="Y132" s="95"/>
      <c r="Z132" s="95"/>
      <c r="AA132" s="95"/>
      <c r="AB132" s="95"/>
      <c r="AC132" s="95"/>
      <c r="AD132" s="95"/>
      <c r="AE132" s="95"/>
      <c r="AF132" s="51">
        <v>0</v>
      </c>
      <c r="AG132" s="51">
        <v>0</v>
      </c>
      <c r="AH132" s="51">
        <f t="shared" si="64"/>
        <v>45221.365312499991</v>
      </c>
      <c r="AI132" s="113"/>
      <c r="AJ132" s="95"/>
      <c r="AK132" s="95"/>
      <c r="AL132" s="95"/>
      <c r="AM132" s="156">
        <f t="shared" si="60"/>
        <v>45221.365312499998</v>
      </c>
      <c r="AN132" s="95"/>
      <c r="AO132" s="95"/>
      <c r="AP132" s="116">
        <f t="shared" si="61"/>
        <v>90442.730624999997</v>
      </c>
      <c r="AQ132" s="198">
        <f t="shared" si="62"/>
        <v>256254.40343749995</v>
      </c>
      <c r="AR132" s="117">
        <f t="shared" si="56"/>
        <v>165811.67281249995</v>
      </c>
      <c r="AS132" s="95">
        <f t="shared" si="57"/>
        <v>31920.963749999995</v>
      </c>
      <c r="AT132" s="117">
        <f t="shared" si="58"/>
        <v>159604.81874999998</v>
      </c>
      <c r="AU132" s="156">
        <f t="shared" si="63"/>
        <v>45221.365312499998</v>
      </c>
    </row>
    <row r="133" spans="1:47" ht="12.75" x14ac:dyDescent="0.2">
      <c r="A133" s="118">
        <v>15</v>
      </c>
      <c r="B133" s="112" t="s">
        <v>149</v>
      </c>
      <c r="C133" s="112" t="s">
        <v>63</v>
      </c>
      <c r="D133" s="112" t="s">
        <v>109</v>
      </c>
      <c r="E133" s="112" t="s">
        <v>83</v>
      </c>
      <c r="F133" s="112">
        <v>14.07</v>
      </c>
      <c r="G133" s="118">
        <v>4.17</v>
      </c>
      <c r="H133" s="118">
        <v>17697</v>
      </c>
      <c r="I133" s="197">
        <f t="shared" si="50"/>
        <v>73796.490000000005</v>
      </c>
      <c r="J133" s="198">
        <f t="shared" si="59"/>
        <v>110694.73500000002</v>
      </c>
      <c r="K133" s="200"/>
      <c r="L133" s="118"/>
      <c r="M133" s="118">
        <v>17</v>
      </c>
      <c r="N133" s="95"/>
      <c r="O133" s="114"/>
      <c r="P133" s="94">
        <f t="shared" si="51"/>
        <v>104545.02750000001</v>
      </c>
      <c r="Q133" s="95">
        <f t="shared" si="52"/>
        <v>0</v>
      </c>
      <c r="R133" s="95">
        <f t="shared" si="53"/>
        <v>0</v>
      </c>
      <c r="S133" s="115">
        <f t="shared" si="54"/>
        <v>26136.256875000003</v>
      </c>
      <c r="T133" s="116">
        <f t="shared" si="55"/>
        <v>13068.128437500003</v>
      </c>
      <c r="U133" s="95"/>
      <c r="V133" s="95"/>
      <c r="W133" s="95"/>
      <c r="X133" s="95"/>
      <c r="Y133" s="95"/>
      <c r="Z133" s="95"/>
      <c r="AA133" s="95"/>
      <c r="AB133" s="95"/>
      <c r="AC133" s="95"/>
      <c r="AD133" s="95"/>
      <c r="AE133" s="95"/>
      <c r="AF133" s="51">
        <v>0</v>
      </c>
      <c r="AG133" s="51">
        <f>(P133+Q133+R133+S133)*35%</f>
        <v>45738.44953125</v>
      </c>
      <c r="AH133" s="51"/>
      <c r="AI133" s="113"/>
      <c r="AJ133" s="95"/>
      <c r="AK133" s="95"/>
      <c r="AL133" s="95"/>
      <c r="AM133" s="156">
        <f t="shared" si="60"/>
        <v>39204.385312500002</v>
      </c>
      <c r="AN133" s="95"/>
      <c r="AO133" s="95"/>
      <c r="AP133" s="116">
        <f t="shared" si="61"/>
        <v>84942.834843749995</v>
      </c>
      <c r="AQ133" s="198">
        <f t="shared" si="62"/>
        <v>228692.24765625002</v>
      </c>
      <c r="AR133" s="117">
        <f t="shared" si="56"/>
        <v>143749.41281250003</v>
      </c>
      <c r="AS133" s="95">
        <f t="shared" si="57"/>
        <v>27673.683750000004</v>
      </c>
      <c r="AT133" s="117">
        <f t="shared" si="58"/>
        <v>138368.41875000001</v>
      </c>
      <c r="AU133" s="156">
        <f t="shared" si="63"/>
        <v>39204.385312500002</v>
      </c>
    </row>
    <row r="134" spans="1:47" ht="12.75" x14ac:dyDescent="0.2">
      <c r="A134" s="118">
        <v>16</v>
      </c>
      <c r="B134" s="112" t="s">
        <v>150</v>
      </c>
      <c r="C134" s="112" t="s">
        <v>63</v>
      </c>
      <c r="D134" s="112" t="s">
        <v>132</v>
      </c>
      <c r="E134" s="112" t="s">
        <v>84</v>
      </c>
      <c r="F134" s="112">
        <v>10</v>
      </c>
      <c r="G134" s="118">
        <v>3.57</v>
      </c>
      <c r="H134" s="118">
        <v>17697</v>
      </c>
      <c r="I134" s="197">
        <f t="shared" si="50"/>
        <v>63178.289999999994</v>
      </c>
      <c r="J134" s="198">
        <f t="shared" si="59"/>
        <v>94767.434999999998</v>
      </c>
      <c r="K134" s="200"/>
      <c r="L134" s="118"/>
      <c r="M134" s="118">
        <v>2</v>
      </c>
      <c r="N134" s="95"/>
      <c r="O134" s="114"/>
      <c r="P134" s="94">
        <f t="shared" si="51"/>
        <v>10529.715</v>
      </c>
      <c r="Q134" s="95">
        <f t="shared" si="52"/>
        <v>0</v>
      </c>
      <c r="R134" s="95">
        <f t="shared" si="53"/>
        <v>0</v>
      </c>
      <c r="S134" s="115">
        <f t="shared" si="54"/>
        <v>2632.42875</v>
      </c>
      <c r="T134" s="116">
        <f t="shared" si="55"/>
        <v>1316.214375</v>
      </c>
      <c r="U134" s="95"/>
      <c r="V134" s="95"/>
      <c r="W134" s="95"/>
      <c r="X134" s="95"/>
      <c r="Y134" s="95"/>
      <c r="Z134" s="95"/>
      <c r="AA134" s="95"/>
      <c r="AB134" s="95"/>
      <c r="AC134" s="95"/>
      <c r="AD134" s="95"/>
      <c r="AE134" s="95"/>
      <c r="AF134" s="51">
        <v>0</v>
      </c>
      <c r="AG134" s="51"/>
      <c r="AH134" s="51"/>
      <c r="AI134" s="113"/>
      <c r="AJ134" s="95"/>
      <c r="AK134" s="95"/>
      <c r="AL134" s="95"/>
      <c r="AM134" s="156">
        <f t="shared" si="60"/>
        <v>3948.6431249999996</v>
      </c>
      <c r="AN134" s="95"/>
      <c r="AO134" s="95"/>
      <c r="AP134" s="116">
        <f t="shared" si="61"/>
        <v>3948.6431249999996</v>
      </c>
      <c r="AQ134" s="198">
        <f t="shared" si="62"/>
        <v>18427.001249999998</v>
      </c>
      <c r="AR134" s="117">
        <f t="shared" si="56"/>
        <v>14478.358124999999</v>
      </c>
      <c r="AS134" s="95">
        <f t="shared" si="57"/>
        <v>23691.858749999999</v>
      </c>
      <c r="AT134" s="117">
        <f t="shared" si="58"/>
        <v>118459.29375</v>
      </c>
      <c r="AU134" s="156">
        <f t="shared" si="63"/>
        <v>3948.6431249999996</v>
      </c>
    </row>
    <row r="135" spans="1:47" ht="12.75" x14ac:dyDescent="0.2">
      <c r="A135" s="118">
        <v>17</v>
      </c>
      <c r="B135" s="112" t="s">
        <v>151</v>
      </c>
      <c r="C135" s="112" t="s">
        <v>63</v>
      </c>
      <c r="D135" s="112" t="s">
        <v>139</v>
      </c>
      <c r="E135" s="112" t="s">
        <v>83</v>
      </c>
      <c r="F135" s="112">
        <v>5.04</v>
      </c>
      <c r="G135" s="118">
        <v>3.97</v>
      </c>
      <c r="H135" s="118">
        <v>17697</v>
      </c>
      <c r="I135" s="197">
        <f t="shared" si="50"/>
        <v>70257.09</v>
      </c>
      <c r="J135" s="198">
        <f t="shared" si="59"/>
        <v>105385.63499999999</v>
      </c>
      <c r="K135" s="200"/>
      <c r="L135" s="118"/>
      <c r="M135" s="118">
        <v>6</v>
      </c>
      <c r="N135" s="95"/>
      <c r="O135" s="114"/>
      <c r="P135" s="94">
        <f t="shared" si="51"/>
        <v>35128.544999999998</v>
      </c>
      <c r="Q135" s="95">
        <f t="shared" si="52"/>
        <v>0</v>
      </c>
      <c r="R135" s="95">
        <f t="shared" si="53"/>
        <v>0</v>
      </c>
      <c r="S135" s="115">
        <f t="shared" si="54"/>
        <v>8782.1362499999996</v>
      </c>
      <c r="T135" s="116">
        <f t="shared" si="55"/>
        <v>4391.0681249999998</v>
      </c>
      <c r="U135" s="95"/>
      <c r="V135" s="95"/>
      <c r="W135" s="95"/>
      <c r="X135" s="95"/>
      <c r="Y135" s="95"/>
      <c r="Z135" s="95"/>
      <c r="AA135" s="95"/>
      <c r="AB135" s="95"/>
      <c r="AC135" s="95"/>
      <c r="AD135" s="95"/>
      <c r="AE135" s="95"/>
      <c r="AF135" s="51">
        <v>0</v>
      </c>
      <c r="AG135" s="51">
        <f t="shared" ref="AG135" si="65">(P135+Q135+R135+S135)*35%</f>
        <v>15368.738437499997</v>
      </c>
      <c r="AH135" s="51"/>
      <c r="AI135" s="113"/>
      <c r="AJ135" s="95"/>
      <c r="AK135" s="95"/>
      <c r="AL135" s="95"/>
      <c r="AM135" s="156">
        <f t="shared" si="60"/>
        <v>13173.204374999998</v>
      </c>
      <c r="AN135" s="95"/>
      <c r="AO135" s="95"/>
      <c r="AP135" s="116">
        <f t="shared" si="61"/>
        <v>28541.942812499994</v>
      </c>
      <c r="AQ135" s="198">
        <f t="shared" si="62"/>
        <v>76843.692187499983</v>
      </c>
      <c r="AR135" s="117">
        <f t="shared" si="56"/>
        <v>48301.749374999985</v>
      </c>
      <c r="AS135" s="95">
        <f t="shared" si="57"/>
        <v>26346.408749999999</v>
      </c>
      <c r="AT135" s="117">
        <f t="shared" si="58"/>
        <v>131732.04374999998</v>
      </c>
      <c r="AU135" s="156">
        <f t="shared" si="63"/>
        <v>13173.204374999998</v>
      </c>
    </row>
    <row r="136" spans="1:47" ht="12.75" x14ac:dyDescent="0.2">
      <c r="A136" s="118">
        <v>18</v>
      </c>
      <c r="B136" s="112" t="s">
        <v>152</v>
      </c>
      <c r="C136" s="112" t="s">
        <v>63</v>
      </c>
      <c r="D136" s="112" t="s">
        <v>153</v>
      </c>
      <c r="E136" s="112" t="s">
        <v>93</v>
      </c>
      <c r="F136" s="112">
        <v>30.05</v>
      </c>
      <c r="G136" s="112">
        <v>4.29</v>
      </c>
      <c r="H136" s="118">
        <v>17697</v>
      </c>
      <c r="I136" s="197">
        <f t="shared" si="50"/>
        <v>75920.13</v>
      </c>
      <c r="J136" s="198">
        <f t="shared" si="59"/>
        <v>113880.19500000001</v>
      </c>
      <c r="K136" s="200"/>
      <c r="L136" s="118"/>
      <c r="M136" s="118">
        <v>17</v>
      </c>
      <c r="N136" s="95"/>
      <c r="O136" s="114"/>
      <c r="P136" s="94">
        <f t="shared" si="51"/>
        <v>107553.51750000002</v>
      </c>
      <c r="Q136" s="95">
        <f t="shared" si="52"/>
        <v>0</v>
      </c>
      <c r="R136" s="95">
        <f t="shared" si="53"/>
        <v>0</v>
      </c>
      <c r="S136" s="115">
        <f t="shared" si="54"/>
        <v>26888.379375000004</v>
      </c>
      <c r="T136" s="116">
        <f t="shared" si="55"/>
        <v>13444.189687500004</v>
      </c>
      <c r="U136" s="95"/>
      <c r="V136" s="95"/>
      <c r="W136" s="95"/>
      <c r="X136" s="95"/>
      <c r="Y136" s="95"/>
      <c r="Z136" s="95"/>
      <c r="AA136" s="95"/>
      <c r="AB136" s="95"/>
      <c r="AC136" s="95"/>
      <c r="AD136" s="95"/>
      <c r="AE136" s="95"/>
      <c r="AF136" s="51">
        <v>0</v>
      </c>
      <c r="AG136" s="51">
        <v>0</v>
      </c>
      <c r="AH136" s="51">
        <f t="shared" ref="AH136" si="66">(R136+S136+Q136+P136)*30%</f>
        <v>40332.569062500006</v>
      </c>
      <c r="AI136" s="113"/>
      <c r="AJ136" s="95"/>
      <c r="AK136" s="95"/>
      <c r="AL136" s="95"/>
      <c r="AM136" s="156">
        <f t="shared" si="60"/>
        <v>40332.569062499999</v>
      </c>
      <c r="AN136" s="95"/>
      <c r="AO136" s="95"/>
      <c r="AP136" s="116">
        <f t="shared" si="61"/>
        <v>80665.138124999998</v>
      </c>
      <c r="AQ136" s="198">
        <f t="shared" si="62"/>
        <v>228551.22468750004</v>
      </c>
      <c r="AR136" s="117">
        <f t="shared" si="56"/>
        <v>147886.08656250004</v>
      </c>
      <c r="AS136" s="95">
        <f t="shared" si="57"/>
        <v>28470.048750000002</v>
      </c>
      <c r="AT136" s="117">
        <f t="shared" si="58"/>
        <v>142350.24375000002</v>
      </c>
      <c r="AU136" s="156">
        <f t="shared" si="63"/>
        <v>40332.569062499999</v>
      </c>
    </row>
    <row r="137" spans="1:47" ht="12.75" x14ac:dyDescent="0.2">
      <c r="A137" s="118">
        <v>19</v>
      </c>
      <c r="B137" s="112" t="s">
        <v>208</v>
      </c>
      <c r="C137" s="112" t="s">
        <v>60</v>
      </c>
      <c r="D137" s="112" t="s">
        <v>180</v>
      </c>
      <c r="E137" s="112" t="s">
        <v>81</v>
      </c>
      <c r="F137" s="112">
        <v>12.06</v>
      </c>
      <c r="G137" s="112">
        <v>4.8600000000000003</v>
      </c>
      <c r="H137" s="118">
        <v>17697</v>
      </c>
      <c r="I137" s="197">
        <f t="shared" si="50"/>
        <v>86007.420000000013</v>
      </c>
      <c r="J137" s="198">
        <f t="shared" si="59"/>
        <v>129011.13000000002</v>
      </c>
      <c r="K137" s="200"/>
      <c r="L137" s="118"/>
      <c r="M137" s="118">
        <v>4</v>
      </c>
      <c r="N137" s="95"/>
      <c r="O137" s="114"/>
      <c r="P137" s="94">
        <f t="shared" si="51"/>
        <v>28669.140000000003</v>
      </c>
      <c r="Q137" s="95"/>
      <c r="R137" s="95"/>
      <c r="S137" s="115">
        <f t="shared" si="54"/>
        <v>7167.2850000000008</v>
      </c>
      <c r="T137" s="116">
        <f t="shared" si="55"/>
        <v>3583.6425000000004</v>
      </c>
      <c r="U137" s="95"/>
      <c r="V137" s="95"/>
      <c r="W137" s="95"/>
      <c r="X137" s="95"/>
      <c r="Y137" s="95"/>
      <c r="Z137" s="95"/>
      <c r="AA137" s="95"/>
      <c r="AB137" s="95"/>
      <c r="AC137" s="95"/>
      <c r="AD137" s="95"/>
      <c r="AE137" s="95"/>
      <c r="AF137" s="51"/>
      <c r="AG137" s="51">
        <f>(P137+Q137+R137+S137)*35%</f>
        <v>12542.748750000001</v>
      </c>
      <c r="AH137" s="51"/>
      <c r="AI137" s="113" t="s">
        <v>204</v>
      </c>
      <c r="AJ137" s="95"/>
      <c r="AK137" s="95"/>
      <c r="AL137" s="95"/>
      <c r="AM137" s="156">
        <f t="shared" si="60"/>
        <v>10750.927500000003</v>
      </c>
      <c r="AN137" s="95"/>
      <c r="AO137" s="95"/>
      <c r="AP137" s="116">
        <f t="shared" si="61"/>
        <v>23293.676250000004</v>
      </c>
      <c r="AQ137" s="198">
        <f>P137+S137+T137+AG137+AM137</f>
        <v>62713.743750000009</v>
      </c>
      <c r="AR137" s="117">
        <f>AQ137-AP137</f>
        <v>39420.067500000005</v>
      </c>
      <c r="AS137" s="95">
        <f t="shared" si="57"/>
        <v>32252.782500000005</v>
      </c>
      <c r="AT137" s="117">
        <f t="shared" si="58"/>
        <v>161263.91250000003</v>
      </c>
      <c r="AU137" s="156">
        <f t="shared" si="63"/>
        <v>10750.927500000003</v>
      </c>
    </row>
    <row r="138" spans="1:47" ht="12.75" x14ac:dyDescent="0.2">
      <c r="A138" s="118">
        <v>20</v>
      </c>
      <c r="B138" s="112" t="s">
        <v>200</v>
      </c>
      <c r="C138" s="112" t="s">
        <v>63</v>
      </c>
      <c r="D138" s="112" t="s">
        <v>181</v>
      </c>
      <c r="E138" s="112" t="s">
        <v>84</v>
      </c>
      <c r="F138" s="112" t="s">
        <v>182</v>
      </c>
      <c r="G138" s="112">
        <v>3.32</v>
      </c>
      <c r="H138" s="118">
        <v>17697</v>
      </c>
      <c r="I138" s="197">
        <f t="shared" si="50"/>
        <v>58754.039999999994</v>
      </c>
      <c r="J138" s="198">
        <f t="shared" si="59"/>
        <v>88131.06</v>
      </c>
      <c r="K138" s="200"/>
      <c r="L138" s="118"/>
      <c r="M138" s="118">
        <v>6</v>
      </c>
      <c r="N138" s="95"/>
      <c r="O138" s="114"/>
      <c r="P138" s="94">
        <f t="shared" si="51"/>
        <v>29377.02</v>
      </c>
      <c r="Q138" s="95">
        <f t="shared" si="52"/>
        <v>0</v>
      </c>
      <c r="R138" s="95">
        <f t="shared" si="53"/>
        <v>0</v>
      </c>
      <c r="S138" s="115">
        <f t="shared" si="54"/>
        <v>7344.2550000000001</v>
      </c>
      <c r="T138" s="116">
        <f t="shared" si="55"/>
        <v>3672.1275000000005</v>
      </c>
      <c r="U138" s="95"/>
      <c r="V138" s="95"/>
      <c r="W138" s="95"/>
      <c r="X138" s="95"/>
      <c r="Y138" s="95"/>
      <c r="Z138" s="95"/>
      <c r="AA138" s="95"/>
      <c r="AB138" s="95"/>
      <c r="AC138" s="95"/>
      <c r="AD138" s="95"/>
      <c r="AE138" s="95"/>
      <c r="AF138" s="51">
        <v>0</v>
      </c>
      <c r="AG138" s="51">
        <v>0</v>
      </c>
      <c r="AH138" s="51"/>
      <c r="AI138" s="113"/>
      <c r="AJ138" s="95"/>
      <c r="AK138" s="95"/>
      <c r="AL138" s="95"/>
      <c r="AM138" s="156">
        <f t="shared" si="60"/>
        <v>11016.382499999998</v>
      </c>
      <c r="AN138" s="95"/>
      <c r="AO138" s="95"/>
      <c r="AP138" s="116">
        <f t="shared" si="61"/>
        <v>11016.382499999998</v>
      </c>
      <c r="AQ138" s="198">
        <f t="shared" si="62"/>
        <v>51409.785000000003</v>
      </c>
      <c r="AR138" s="117">
        <f t="shared" ref="AR138:AR139" si="67">AQ138-AP138</f>
        <v>40393.402500000004</v>
      </c>
      <c r="AS138" s="95">
        <f t="shared" si="57"/>
        <v>22032.764999999999</v>
      </c>
      <c r="AT138" s="117">
        <f t="shared" si="58"/>
        <v>110163.825</v>
      </c>
      <c r="AU138" s="156">
        <f t="shared" si="63"/>
        <v>11016.382499999998</v>
      </c>
    </row>
    <row r="139" spans="1:47" ht="12.75" x14ac:dyDescent="0.2">
      <c r="A139" s="118">
        <v>21</v>
      </c>
      <c r="B139" s="124" t="s">
        <v>183</v>
      </c>
      <c r="C139" s="124" t="s">
        <v>60</v>
      </c>
      <c r="D139" s="124" t="s">
        <v>99</v>
      </c>
      <c r="E139" s="124" t="s">
        <v>91</v>
      </c>
      <c r="F139" s="124">
        <v>1.04</v>
      </c>
      <c r="G139" s="124">
        <v>4.1399999999999997</v>
      </c>
      <c r="H139" s="122">
        <v>17697</v>
      </c>
      <c r="I139" s="194">
        <f t="shared" si="50"/>
        <v>73265.579999999987</v>
      </c>
      <c r="J139" s="198">
        <f t="shared" si="59"/>
        <v>109898.36999999998</v>
      </c>
      <c r="K139" s="200"/>
      <c r="L139" s="118"/>
      <c r="M139" s="118">
        <v>4</v>
      </c>
      <c r="N139" s="123"/>
      <c r="O139" s="185"/>
      <c r="P139" s="94">
        <f t="shared" si="51"/>
        <v>24421.859999999997</v>
      </c>
      <c r="Q139" s="95">
        <f t="shared" si="52"/>
        <v>0</v>
      </c>
      <c r="R139" s="95">
        <f t="shared" si="53"/>
        <v>0</v>
      </c>
      <c r="S139" s="115">
        <f t="shared" si="54"/>
        <v>6105.4649999999992</v>
      </c>
      <c r="T139" s="116">
        <f t="shared" si="55"/>
        <v>3052.7325000000001</v>
      </c>
      <c r="U139" s="95"/>
      <c r="V139" s="95"/>
      <c r="W139" s="95"/>
      <c r="X139" s="95"/>
      <c r="Y139" s="95"/>
      <c r="Z139" s="95"/>
      <c r="AA139" s="95"/>
      <c r="AB139" s="95"/>
      <c r="AC139" s="95"/>
      <c r="AD139" s="95"/>
      <c r="AE139" s="95"/>
      <c r="AF139" s="51">
        <v>0</v>
      </c>
      <c r="AG139" s="51">
        <v>0</v>
      </c>
      <c r="AH139" s="51"/>
      <c r="AI139" s="113"/>
      <c r="AJ139" s="95"/>
      <c r="AK139" s="95"/>
      <c r="AL139" s="95"/>
      <c r="AM139" s="156">
        <f t="shared" si="60"/>
        <v>9158.1974999999984</v>
      </c>
      <c r="AN139" s="95"/>
      <c r="AO139" s="95"/>
      <c r="AP139" s="116">
        <f t="shared" si="61"/>
        <v>9158.1974999999984</v>
      </c>
      <c r="AQ139" s="198">
        <f t="shared" si="62"/>
        <v>42738.25499999999</v>
      </c>
      <c r="AR139" s="117">
        <f t="shared" si="67"/>
        <v>33580.057499999995</v>
      </c>
      <c r="AS139" s="95">
        <f t="shared" si="57"/>
        <v>27474.592499999995</v>
      </c>
      <c r="AT139" s="117">
        <f t="shared" si="58"/>
        <v>137372.96249999997</v>
      </c>
      <c r="AU139" s="156">
        <f t="shared" si="63"/>
        <v>9158.1974999999984</v>
      </c>
    </row>
    <row r="140" spans="1:47" ht="12.75" x14ac:dyDescent="0.2">
      <c r="A140" s="118">
        <v>22</v>
      </c>
      <c r="B140" s="74" t="s">
        <v>201</v>
      </c>
      <c r="C140" s="74" t="s">
        <v>60</v>
      </c>
      <c r="D140" s="74" t="s">
        <v>102</v>
      </c>
      <c r="E140" s="112" t="s">
        <v>91</v>
      </c>
      <c r="F140" s="112" t="s">
        <v>94</v>
      </c>
      <c r="G140" s="118">
        <v>4.0999999999999996</v>
      </c>
      <c r="H140" s="118">
        <v>17697</v>
      </c>
      <c r="I140" s="194">
        <f t="shared" si="50"/>
        <v>72557.7</v>
      </c>
      <c r="J140" s="198">
        <f t="shared" si="59"/>
        <v>108836.54999999999</v>
      </c>
      <c r="K140" s="200"/>
      <c r="L140" s="124"/>
      <c r="M140" s="118">
        <v>2</v>
      </c>
      <c r="N140" s="95"/>
      <c r="O140" s="186"/>
      <c r="P140" s="94">
        <f t="shared" si="51"/>
        <v>12092.949999999999</v>
      </c>
      <c r="Q140" s="95">
        <f t="shared" si="52"/>
        <v>0</v>
      </c>
      <c r="R140" s="95">
        <f t="shared" si="53"/>
        <v>0</v>
      </c>
      <c r="S140" s="115">
        <f>(L140+P140+Q140+R140)*25%</f>
        <v>3023.2374999999997</v>
      </c>
      <c r="T140" s="116">
        <f>(P140+Q140+R140+L140+S140)*10%</f>
        <v>1511.6187499999999</v>
      </c>
      <c r="U140" s="95"/>
      <c r="V140" s="95"/>
      <c r="W140" s="95"/>
      <c r="X140" s="95"/>
      <c r="Y140" s="95"/>
      <c r="Z140" s="95"/>
      <c r="AA140" s="95"/>
      <c r="AB140" s="95"/>
      <c r="AC140" s="95"/>
      <c r="AD140" s="95"/>
      <c r="AE140" s="95"/>
      <c r="AF140" s="51">
        <v>0</v>
      </c>
      <c r="AG140" s="51">
        <v>0</v>
      </c>
      <c r="AH140" s="51"/>
      <c r="AI140" s="113"/>
      <c r="AJ140" s="95"/>
      <c r="AK140" s="95"/>
      <c r="AL140" s="95"/>
      <c r="AM140" s="156">
        <f t="shared" si="60"/>
        <v>4534.8562499999998</v>
      </c>
      <c r="AN140" s="95"/>
      <c r="AO140" s="95"/>
      <c r="AP140" s="116">
        <f t="shared" si="61"/>
        <v>4534.8562499999998</v>
      </c>
      <c r="AQ140" s="198">
        <f t="shared" si="62"/>
        <v>21162.662499999999</v>
      </c>
      <c r="AR140" s="117">
        <f>AQ140-AP140</f>
        <v>16627.806249999998</v>
      </c>
      <c r="AS140" s="95">
        <f>J140*25%</f>
        <v>27209.137499999997</v>
      </c>
      <c r="AT140" s="117">
        <f>AS140+J140</f>
        <v>136045.6875</v>
      </c>
      <c r="AU140" s="156">
        <f t="shared" ref="AU140:AU147" si="68">AT140/18*(M140+N140+O140)*30%</f>
        <v>4534.8562499999998</v>
      </c>
    </row>
    <row r="141" spans="1:47" ht="12.75" x14ac:dyDescent="0.2">
      <c r="A141" s="118">
        <v>23</v>
      </c>
      <c r="B141" s="124" t="s">
        <v>202</v>
      </c>
      <c r="C141" s="124" t="s">
        <v>60</v>
      </c>
      <c r="D141" s="124" t="s">
        <v>96</v>
      </c>
      <c r="E141" s="124" t="s">
        <v>91</v>
      </c>
      <c r="F141" s="124">
        <v>4</v>
      </c>
      <c r="G141" s="124">
        <v>4.2300000000000004</v>
      </c>
      <c r="H141" s="122">
        <v>17697</v>
      </c>
      <c r="I141" s="194">
        <f t="shared" si="50"/>
        <v>74858.310000000012</v>
      </c>
      <c r="J141" s="198">
        <f t="shared" si="59"/>
        <v>112287.46500000003</v>
      </c>
      <c r="K141" s="200"/>
      <c r="L141" s="124"/>
      <c r="M141" s="124">
        <v>4</v>
      </c>
      <c r="N141" s="95"/>
      <c r="O141" s="186"/>
      <c r="P141" s="94">
        <f t="shared" si="51"/>
        <v>24952.770000000004</v>
      </c>
      <c r="Q141" s="95">
        <f t="shared" si="52"/>
        <v>0</v>
      </c>
      <c r="R141" s="95">
        <f t="shared" si="53"/>
        <v>0</v>
      </c>
      <c r="S141" s="115">
        <f>(L141+P141+Q141+R141)*25%</f>
        <v>6238.192500000001</v>
      </c>
      <c r="T141" s="116">
        <f>(P141+Q141+R141+L141+S141)*10%</f>
        <v>3119.0962500000005</v>
      </c>
      <c r="U141" s="125"/>
      <c r="V141" s="125"/>
      <c r="W141" s="125"/>
      <c r="X141" s="125"/>
      <c r="Y141" s="125"/>
      <c r="Z141" s="125"/>
      <c r="AA141" s="125"/>
      <c r="AB141" s="125"/>
      <c r="AC141" s="125"/>
      <c r="AD141" s="125"/>
      <c r="AE141" s="125">
        <v>0</v>
      </c>
      <c r="AF141" s="124"/>
      <c r="AG141" s="167"/>
      <c r="AH141" s="51">
        <f t="shared" ref="AH141" si="69">(R141+S141+Q141+P141)*30%</f>
        <v>9357.2887500000015</v>
      </c>
      <c r="AI141" s="184"/>
      <c r="AJ141" s="125"/>
      <c r="AK141" s="125"/>
      <c r="AL141" s="125"/>
      <c r="AM141" s="156">
        <f t="shared" si="60"/>
        <v>9357.2887500000015</v>
      </c>
      <c r="AN141" s="129"/>
      <c r="AO141" s="129">
        <f>SUM(AO119:AO140)</f>
        <v>0</v>
      </c>
      <c r="AP141" s="116">
        <f t="shared" si="61"/>
        <v>18714.577500000003</v>
      </c>
      <c r="AQ141" s="198">
        <f t="shared" si="62"/>
        <v>53024.636250000003</v>
      </c>
      <c r="AR141" s="117">
        <f>AQ141-AP141</f>
        <v>34310.058749999997</v>
      </c>
      <c r="AS141" s="95">
        <f>J141*25%</f>
        <v>28071.866250000006</v>
      </c>
      <c r="AT141" s="117">
        <f>AS141+J141</f>
        <v>140359.33125000005</v>
      </c>
      <c r="AU141" s="156">
        <f t="shared" si="68"/>
        <v>9357.2887500000015</v>
      </c>
    </row>
    <row r="142" spans="1:47" ht="12.75" x14ac:dyDescent="0.2">
      <c r="A142" s="118">
        <v>24</v>
      </c>
      <c r="B142" s="124" t="s">
        <v>203</v>
      </c>
      <c r="C142" s="124" t="s">
        <v>63</v>
      </c>
      <c r="D142" s="124" t="s">
        <v>95</v>
      </c>
      <c r="E142" s="124" t="s">
        <v>93</v>
      </c>
      <c r="F142" s="124">
        <v>8</v>
      </c>
      <c r="G142" s="118">
        <v>3.97</v>
      </c>
      <c r="H142" s="122">
        <v>17697</v>
      </c>
      <c r="I142" s="197">
        <f t="shared" si="50"/>
        <v>70257.09</v>
      </c>
      <c r="J142" s="198">
        <f t="shared" si="59"/>
        <v>105385.63499999999</v>
      </c>
      <c r="K142" s="206"/>
      <c r="L142" s="118"/>
      <c r="M142" s="124">
        <v>6</v>
      </c>
      <c r="N142" s="123"/>
      <c r="O142" s="187"/>
      <c r="P142" s="94">
        <f t="shared" si="51"/>
        <v>35128.544999999998</v>
      </c>
      <c r="Q142" s="95">
        <f t="shared" si="52"/>
        <v>0</v>
      </c>
      <c r="R142" s="95">
        <f t="shared" si="53"/>
        <v>0</v>
      </c>
      <c r="S142" s="116">
        <f>(L142+P142+Q142+R142)*25%</f>
        <v>8782.1362499999996</v>
      </c>
      <c r="T142" s="165">
        <f>(P142+Q142+R142+L142+S142)*10%</f>
        <v>4391.0681249999998</v>
      </c>
      <c r="U142" s="95"/>
      <c r="V142" s="95"/>
      <c r="W142" s="95"/>
      <c r="X142" s="95"/>
      <c r="Y142" s="95"/>
      <c r="Z142" s="95"/>
      <c r="AA142" s="95"/>
      <c r="AB142" s="95"/>
      <c r="AC142" s="95"/>
      <c r="AD142" s="95"/>
      <c r="AE142" s="95"/>
      <c r="AF142" s="118"/>
      <c r="AG142" s="51"/>
      <c r="AH142" s="51"/>
      <c r="AI142" s="113"/>
      <c r="AJ142" s="95"/>
      <c r="AK142" s="95"/>
      <c r="AL142" s="95"/>
      <c r="AM142" s="156">
        <f t="shared" si="60"/>
        <v>13173.204374999998</v>
      </c>
      <c r="AN142" s="123"/>
      <c r="AO142" s="123"/>
      <c r="AP142" s="116">
        <f t="shared" si="61"/>
        <v>13173.204374999998</v>
      </c>
      <c r="AQ142" s="198">
        <f t="shared" ref="AQ142:AQ147" si="70">P142+Q142+R142+S142+T142+X142+Y142+Z142+AA142+AB142+AC142+AD142+AE142+AF142+AG142+AH142+AI142+AJ142+AK142+AM142+AN142+AO142+L142</f>
        <v>61474.953749999986</v>
      </c>
      <c r="AR142" s="117">
        <f>AQ142-AP142</f>
        <v>48301.749374999985</v>
      </c>
      <c r="AS142" s="95">
        <f>J142*25%</f>
        <v>26346.408749999999</v>
      </c>
      <c r="AT142" s="117">
        <f>AS142+J142</f>
        <v>131732.04374999998</v>
      </c>
      <c r="AU142" s="156">
        <f t="shared" si="68"/>
        <v>13173.204374999998</v>
      </c>
    </row>
    <row r="143" spans="1:47" ht="12.75" x14ac:dyDescent="0.2">
      <c r="A143" s="118">
        <v>25</v>
      </c>
      <c r="B143" s="74" t="s">
        <v>205</v>
      </c>
      <c r="C143" s="74" t="s">
        <v>60</v>
      </c>
      <c r="D143" s="74" t="s">
        <v>206</v>
      </c>
      <c r="E143" s="112" t="s">
        <v>80</v>
      </c>
      <c r="F143" s="112">
        <v>35.11</v>
      </c>
      <c r="G143" s="118">
        <v>5.41</v>
      </c>
      <c r="H143" s="118">
        <v>17697</v>
      </c>
      <c r="I143" s="198">
        <f t="shared" si="50"/>
        <v>95740.77</v>
      </c>
      <c r="J143" s="198">
        <f t="shared" si="59"/>
        <v>143611.155</v>
      </c>
      <c r="K143" s="200"/>
      <c r="L143" s="118">
        <f>J143/24*K143</f>
        <v>0</v>
      </c>
      <c r="M143" s="118">
        <v>5</v>
      </c>
      <c r="N143" s="95"/>
      <c r="O143" s="114"/>
      <c r="P143" s="94">
        <f t="shared" si="51"/>
        <v>39891.987500000003</v>
      </c>
      <c r="Q143" s="95"/>
      <c r="R143" s="95">
        <f t="shared" si="53"/>
        <v>0</v>
      </c>
      <c r="S143" s="115">
        <f>(L143+P143+Q143+R143)*25%</f>
        <v>9972.9968750000007</v>
      </c>
      <c r="T143" s="116">
        <f>(P143+Q143+R143+L143+S143)*10%</f>
        <v>4986.4984375000004</v>
      </c>
      <c r="U143" s="95"/>
      <c r="V143" s="95"/>
      <c r="W143" s="95"/>
      <c r="X143" s="95"/>
      <c r="Y143" s="95"/>
      <c r="Z143" s="95"/>
      <c r="AA143" s="95"/>
      <c r="AB143" s="95"/>
      <c r="AC143" s="95"/>
      <c r="AD143" s="95"/>
      <c r="AE143" s="95"/>
      <c r="AF143" s="51"/>
      <c r="AG143" s="118"/>
      <c r="AH143" s="118"/>
      <c r="AI143" s="113"/>
      <c r="AJ143" s="95"/>
      <c r="AK143" s="95"/>
      <c r="AL143" s="95"/>
      <c r="AM143" s="156">
        <f t="shared" si="60"/>
        <v>14959.495312499999</v>
      </c>
      <c r="AN143" s="118"/>
      <c r="AO143" s="118"/>
      <c r="AP143" s="116">
        <f t="shared" si="61"/>
        <v>14959.495312499999</v>
      </c>
      <c r="AQ143" s="198">
        <f t="shared" si="70"/>
        <v>69810.978124999994</v>
      </c>
      <c r="AR143" s="117">
        <f>AQ143-AP143</f>
        <v>54851.482812499991</v>
      </c>
      <c r="AS143" s="95">
        <f t="shared" ref="AS143:AS147" si="71">J143*25%</f>
        <v>35902.78875</v>
      </c>
      <c r="AT143" s="117">
        <f t="shared" ref="AT143:AT147" si="72">AS143+J143</f>
        <v>179513.94375000001</v>
      </c>
      <c r="AU143" s="156">
        <f t="shared" si="68"/>
        <v>14959.495312499999</v>
      </c>
    </row>
    <row r="144" spans="1:47" ht="12.75" x14ac:dyDescent="0.2">
      <c r="A144" s="118">
        <v>26</v>
      </c>
      <c r="B144" s="74" t="s">
        <v>213</v>
      </c>
      <c r="C144" s="74" t="s">
        <v>60</v>
      </c>
      <c r="D144" s="74" t="s">
        <v>41</v>
      </c>
      <c r="E144" s="112" t="s">
        <v>81</v>
      </c>
      <c r="F144" s="112">
        <v>27.04</v>
      </c>
      <c r="G144" s="120">
        <v>5.2</v>
      </c>
      <c r="H144" s="118">
        <v>17697</v>
      </c>
      <c r="I144" s="194">
        <f>H144*G144</f>
        <v>92024.400000000009</v>
      </c>
      <c r="J144" s="198">
        <f t="shared" si="59"/>
        <v>138036.6</v>
      </c>
      <c r="K144" s="200"/>
      <c r="L144" s="118"/>
      <c r="M144" s="118">
        <v>5</v>
      </c>
      <c r="N144" s="95"/>
      <c r="O144" s="92"/>
      <c r="P144" s="94">
        <f>J144/18*M144</f>
        <v>38343.5</v>
      </c>
      <c r="Q144" s="95"/>
      <c r="R144" s="95">
        <f t="shared" si="53"/>
        <v>0</v>
      </c>
      <c r="S144" s="115">
        <f>(L144+P144+M144+R144)*25%</f>
        <v>9587.125</v>
      </c>
      <c r="T144" s="116">
        <f>(P144+M144+R144+L144+S144)*10%</f>
        <v>4793.5625</v>
      </c>
      <c r="U144" s="95"/>
      <c r="V144" s="95"/>
      <c r="W144" s="95"/>
      <c r="X144" s="95"/>
      <c r="Y144" s="95"/>
      <c r="Z144" s="95"/>
      <c r="AA144" s="95"/>
      <c r="AB144" s="95"/>
      <c r="AC144" s="95"/>
      <c r="AD144" s="95"/>
      <c r="AE144" s="95"/>
      <c r="AF144" s="51"/>
      <c r="AG144" s="118"/>
      <c r="AH144" s="118"/>
      <c r="AI144" s="113"/>
      <c r="AJ144" s="95"/>
      <c r="AK144" s="95"/>
      <c r="AL144" s="95"/>
      <c r="AM144" s="156">
        <f t="shared" si="60"/>
        <v>14378.8125</v>
      </c>
      <c r="AN144" s="118"/>
      <c r="AO144" s="118"/>
      <c r="AP144" s="116">
        <f t="shared" si="61"/>
        <v>14378.8125</v>
      </c>
      <c r="AQ144" s="198">
        <f t="shared" si="70"/>
        <v>67103</v>
      </c>
      <c r="AR144" s="117">
        <f t="shared" ref="AR144:AR147" si="73">AQ144-AP144</f>
        <v>52724.1875</v>
      </c>
      <c r="AS144" s="95">
        <f t="shared" si="71"/>
        <v>34509.15</v>
      </c>
      <c r="AT144" s="117">
        <f t="shared" si="72"/>
        <v>172545.75</v>
      </c>
      <c r="AU144" s="156">
        <f t="shared" si="68"/>
        <v>14378.8125</v>
      </c>
    </row>
    <row r="145" spans="1:47" ht="12.75" x14ac:dyDescent="0.2">
      <c r="A145" s="118">
        <v>27</v>
      </c>
      <c r="B145" s="74" t="s">
        <v>214</v>
      </c>
      <c r="C145" s="74" t="s">
        <v>60</v>
      </c>
      <c r="D145" s="74" t="s">
        <v>65</v>
      </c>
      <c r="E145" s="112" t="s">
        <v>81</v>
      </c>
      <c r="F145" s="112">
        <v>17.04</v>
      </c>
      <c r="G145" s="118">
        <v>5.03</v>
      </c>
      <c r="H145" s="118">
        <v>17697</v>
      </c>
      <c r="I145" s="194">
        <f t="shared" ref="I145:I147" si="74">G145*H145</f>
        <v>89015.91</v>
      </c>
      <c r="J145" s="198">
        <f t="shared" si="59"/>
        <v>133523.86499999999</v>
      </c>
      <c r="K145" s="200"/>
      <c r="L145" s="118"/>
      <c r="M145" s="118">
        <v>3</v>
      </c>
      <c r="N145" s="95"/>
      <c r="O145" s="92"/>
      <c r="P145" s="94">
        <f>J145/18*M145</f>
        <v>22253.977499999997</v>
      </c>
      <c r="Q145" s="95"/>
      <c r="R145" s="95">
        <f t="shared" si="53"/>
        <v>0</v>
      </c>
      <c r="S145" s="115">
        <f>(L145+P145+M145+R145)*25%</f>
        <v>5564.2443749999993</v>
      </c>
      <c r="T145" s="116">
        <f>(P145+M145+R145+L145+S145)*10%</f>
        <v>2782.1221874999997</v>
      </c>
      <c r="U145" s="95"/>
      <c r="V145" s="95"/>
      <c r="W145" s="95"/>
      <c r="X145" s="95"/>
      <c r="Y145" s="95"/>
      <c r="Z145" s="95"/>
      <c r="AA145" s="95"/>
      <c r="AB145" s="95"/>
      <c r="AC145" s="95"/>
      <c r="AD145" s="95"/>
      <c r="AE145" s="95"/>
      <c r="AF145" s="51"/>
      <c r="AG145" s="198">
        <f>(P145+S145)*35%</f>
        <v>9736.377656249997</v>
      </c>
      <c r="AH145" s="118"/>
      <c r="AI145" s="113"/>
      <c r="AJ145" s="95"/>
      <c r="AK145" s="95"/>
      <c r="AL145" s="95"/>
      <c r="AM145" s="156">
        <f t="shared" si="60"/>
        <v>8345.2415624999976</v>
      </c>
      <c r="AN145" s="118"/>
      <c r="AO145" s="118"/>
      <c r="AP145" s="116">
        <f t="shared" si="61"/>
        <v>18081.619218749995</v>
      </c>
      <c r="AQ145" s="198">
        <f t="shared" si="70"/>
        <v>48681.963281249991</v>
      </c>
      <c r="AR145" s="117">
        <f t="shared" si="73"/>
        <v>30600.344062499997</v>
      </c>
      <c r="AS145" s="95">
        <f t="shared" si="71"/>
        <v>33380.966249999998</v>
      </c>
      <c r="AT145" s="117">
        <f t="shared" si="72"/>
        <v>166904.83124999999</v>
      </c>
      <c r="AU145" s="156">
        <f t="shared" si="68"/>
        <v>8345.2415624999976</v>
      </c>
    </row>
    <row r="146" spans="1:47" ht="12.75" x14ac:dyDescent="0.2">
      <c r="A146" s="118">
        <v>28</v>
      </c>
      <c r="B146" s="74" t="s">
        <v>215</v>
      </c>
      <c r="C146" s="74" t="s">
        <v>60</v>
      </c>
      <c r="D146" s="74" t="s">
        <v>97</v>
      </c>
      <c r="E146" s="112" t="s">
        <v>80</v>
      </c>
      <c r="F146" s="112">
        <v>31.04</v>
      </c>
      <c r="G146" s="118">
        <v>5.41</v>
      </c>
      <c r="H146" s="118">
        <v>17697</v>
      </c>
      <c r="I146" s="194">
        <f t="shared" si="74"/>
        <v>95740.77</v>
      </c>
      <c r="J146" s="198">
        <f t="shared" si="59"/>
        <v>143611.155</v>
      </c>
      <c r="K146" s="200"/>
      <c r="L146" s="118"/>
      <c r="M146" s="118">
        <v>2</v>
      </c>
      <c r="N146" s="95"/>
      <c r="O146" s="92"/>
      <c r="P146" s="94">
        <f>J146/18*M146</f>
        <v>15956.795</v>
      </c>
      <c r="Q146" s="95"/>
      <c r="R146" s="95">
        <f t="shared" si="53"/>
        <v>0</v>
      </c>
      <c r="S146" s="115">
        <f>(L146+P146+M146+R146)*25%</f>
        <v>3989.69875</v>
      </c>
      <c r="T146" s="116">
        <f>(P146+M146+R146+L146+S146)*10%</f>
        <v>1994.8493750000002</v>
      </c>
      <c r="U146" s="95"/>
      <c r="V146" s="95"/>
      <c r="W146" s="95"/>
      <c r="X146" s="95"/>
      <c r="Y146" s="95"/>
      <c r="Z146" s="95"/>
      <c r="AA146" s="95"/>
      <c r="AB146" s="95"/>
      <c r="AC146" s="95"/>
      <c r="AD146" s="95"/>
      <c r="AE146" s="95"/>
      <c r="AF146" s="51">
        <f>(P146+S146)*40%</f>
        <v>7978.5975000000008</v>
      </c>
      <c r="AG146" s="118"/>
      <c r="AH146" s="118"/>
      <c r="AI146" s="113"/>
      <c r="AJ146" s="95"/>
      <c r="AK146" s="95"/>
      <c r="AL146" s="95"/>
      <c r="AM146" s="156">
        <f t="shared" si="60"/>
        <v>5983.7981250000003</v>
      </c>
      <c r="AN146" s="118"/>
      <c r="AO146" s="118"/>
      <c r="AP146" s="116">
        <f t="shared" si="61"/>
        <v>13962.395625000001</v>
      </c>
      <c r="AQ146" s="198">
        <f t="shared" si="70"/>
        <v>35903.738750000004</v>
      </c>
      <c r="AR146" s="117">
        <f t="shared" si="73"/>
        <v>21941.343125000003</v>
      </c>
      <c r="AS146" s="95">
        <f t="shared" si="71"/>
        <v>35902.78875</v>
      </c>
      <c r="AT146" s="117">
        <f t="shared" si="72"/>
        <v>179513.94375000001</v>
      </c>
      <c r="AU146" s="156">
        <f t="shared" si="68"/>
        <v>5983.7981250000003</v>
      </c>
    </row>
    <row r="147" spans="1:47" ht="12.75" x14ac:dyDescent="0.2">
      <c r="A147" s="118">
        <v>29</v>
      </c>
      <c r="B147" s="74" t="s">
        <v>216</v>
      </c>
      <c r="C147" s="74" t="s">
        <v>60</v>
      </c>
      <c r="D147" s="74" t="s">
        <v>99</v>
      </c>
      <c r="E147" s="112" t="s">
        <v>91</v>
      </c>
      <c r="F147" s="112">
        <v>12.01</v>
      </c>
      <c r="G147" s="118">
        <v>4.38</v>
      </c>
      <c r="H147" s="118">
        <v>17697</v>
      </c>
      <c r="I147" s="194">
        <f t="shared" si="74"/>
        <v>77512.86</v>
      </c>
      <c r="J147" s="198">
        <f t="shared" si="59"/>
        <v>116269.29000000001</v>
      </c>
      <c r="K147" s="200"/>
      <c r="L147" s="118"/>
      <c r="M147" s="118">
        <v>1</v>
      </c>
      <c r="N147" s="95"/>
      <c r="O147" s="92"/>
      <c r="P147" s="94">
        <f>J147/18*M147</f>
        <v>6459.4050000000007</v>
      </c>
      <c r="Q147" s="95"/>
      <c r="R147" s="95">
        <f t="shared" si="53"/>
        <v>0</v>
      </c>
      <c r="S147" s="115">
        <f>(L147+P147+M147+R147)*25%</f>
        <v>1615.1012500000002</v>
      </c>
      <c r="T147" s="116">
        <f>(P147+M147+R147+L147+S147)*10%</f>
        <v>807.55062500000008</v>
      </c>
      <c r="U147" s="95"/>
      <c r="V147" s="95"/>
      <c r="W147" s="95"/>
      <c r="X147" s="95"/>
      <c r="Y147" s="95"/>
      <c r="Z147" s="95"/>
      <c r="AA147" s="95"/>
      <c r="AB147" s="95"/>
      <c r="AC147" s="95"/>
      <c r="AD147" s="95"/>
      <c r="AE147" s="95"/>
      <c r="AF147" s="51"/>
      <c r="AG147" s="118"/>
      <c r="AH147" s="118"/>
      <c r="AI147" s="113"/>
      <c r="AJ147" s="95"/>
      <c r="AK147" s="95"/>
      <c r="AL147" s="95"/>
      <c r="AM147" s="156">
        <f t="shared" si="60"/>
        <v>2422.2768750000005</v>
      </c>
      <c r="AN147" s="118"/>
      <c r="AO147" s="118"/>
      <c r="AP147" s="116">
        <f t="shared" si="61"/>
        <v>2422.2768750000005</v>
      </c>
      <c r="AQ147" s="198">
        <f t="shared" si="70"/>
        <v>11304.333750000002</v>
      </c>
      <c r="AR147" s="117">
        <f t="shared" si="73"/>
        <v>8882.056875000002</v>
      </c>
      <c r="AS147" s="95">
        <f t="shared" si="71"/>
        <v>29067.322500000002</v>
      </c>
      <c r="AT147" s="117">
        <f t="shared" si="72"/>
        <v>145336.61250000002</v>
      </c>
      <c r="AU147" s="156">
        <f t="shared" si="68"/>
        <v>2422.2768750000005</v>
      </c>
    </row>
    <row r="148" spans="1:47" x14ac:dyDescent="0.2">
      <c r="A148" s="188"/>
      <c r="B148" s="188"/>
      <c r="C148" s="188"/>
      <c r="D148" s="188"/>
      <c r="E148" s="188"/>
      <c r="F148" s="188"/>
      <c r="G148" s="188"/>
      <c r="H148" s="188"/>
      <c r="I148" s="205"/>
      <c r="J148" s="208">
        <f>SUM(J119:J147)</f>
        <v>3628769.8499999992</v>
      </c>
      <c r="K148" s="208">
        <f t="shared" ref="K148:L148" si="75">SUM(K119:K147)</f>
        <v>0</v>
      </c>
      <c r="L148" s="208">
        <f t="shared" si="75"/>
        <v>0</v>
      </c>
      <c r="M148" s="208">
        <f>SUM(M119:M147)</f>
        <v>178</v>
      </c>
      <c r="N148" s="208">
        <f t="shared" ref="N148:P148" si="76">SUM(N119:N147)</f>
        <v>0</v>
      </c>
      <c r="O148" s="208">
        <f t="shared" si="76"/>
        <v>0</v>
      </c>
      <c r="P148" s="208">
        <f t="shared" si="76"/>
        <v>1238731.01</v>
      </c>
      <c r="Q148" s="208">
        <f>SUM(Q119:Q147)</f>
        <v>0</v>
      </c>
      <c r="R148" s="208">
        <f t="shared" ref="R148" si="77">SUM(R119:R147)</f>
        <v>0</v>
      </c>
      <c r="S148" s="115">
        <f t="shared" ref="S148" si="78">(L148+P148+Q148+R148)*25%</f>
        <v>309682.7525</v>
      </c>
      <c r="T148" s="116">
        <f t="shared" ref="T148" si="79">(P148+Q148+R148+L148+S148)*10%</f>
        <v>154841.37625</v>
      </c>
      <c r="U148" s="208">
        <f t="shared" ref="U148:AU148" si="80">SUM(U119:U147)</f>
        <v>0</v>
      </c>
      <c r="V148" s="208">
        <f t="shared" si="80"/>
        <v>0</v>
      </c>
      <c r="W148" s="208">
        <f t="shared" si="80"/>
        <v>0</v>
      </c>
      <c r="X148" s="208">
        <f t="shared" si="80"/>
        <v>0</v>
      </c>
      <c r="Y148" s="208">
        <f t="shared" si="80"/>
        <v>0</v>
      </c>
      <c r="Z148" s="208">
        <f t="shared" si="80"/>
        <v>0</v>
      </c>
      <c r="AA148" s="208">
        <f t="shared" si="80"/>
        <v>0</v>
      </c>
      <c r="AB148" s="208">
        <f t="shared" si="80"/>
        <v>0</v>
      </c>
      <c r="AC148" s="208">
        <f t="shared" si="80"/>
        <v>0</v>
      </c>
      <c r="AD148" s="208">
        <f t="shared" si="80"/>
        <v>0</v>
      </c>
      <c r="AE148" s="208">
        <f t="shared" si="80"/>
        <v>0</v>
      </c>
      <c r="AF148" s="208">
        <f t="shared" si="80"/>
        <v>125154.85875000001</v>
      </c>
      <c r="AG148" s="208">
        <f t="shared" si="80"/>
        <v>144893.52828124998</v>
      </c>
      <c r="AH148" s="208">
        <f t="shared" si="80"/>
        <v>119863.99312500001</v>
      </c>
      <c r="AI148" s="208">
        <f t="shared" si="80"/>
        <v>0</v>
      </c>
      <c r="AJ148" s="208">
        <f t="shared" si="80"/>
        <v>0</v>
      </c>
      <c r="AK148" s="208">
        <f t="shared" si="80"/>
        <v>0</v>
      </c>
      <c r="AL148" s="208">
        <f t="shared" si="80"/>
        <v>0</v>
      </c>
      <c r="AM148" s="208">
        <f t="shared" si="80"/>
        <v>464524.12874999992</v>
      </c>
      <c r="AN148" s="208">
        <f t="shared" si="80"/>
        <v>0</v>
      </c>
      <c r="AO148" s="208">
        <f t="shared" si="80"/>
        <v>0</v>
      </c>
      <c r="AP148" s="208">
        <f t="shared" si="80"/>
        <v>854436.50890624989</v>
      </c>
      <c r="AQ148" s="208">
        <f t="shared" si="80"/>
        <v>2557695.7726562498</v>
      </c>
      <c r="AR148" s="208">
        <f t="shared" si="80"/>
        <v>1703259.2637499997</v>
      </c>
      <c r="AS148" s="208">
        <f t="shared" si="80"/>
        <v>907192.46249999979</v>
      </c>
      <c r="AT148" s="208">
        <f t="shared" si="80"/>
        <v>4535962.3125000009</v>
      </c>
      <c r="AU148" s="208">
        <f t="shared" si="80"/>
        <v>464524.12874999992</v>
      </c>
    </row>
    <row r="149" spans="1:47" x14ac:dyDescent="0.2">
      <c r="M149" s="82"/>
      <c r="O149" s="109"/>
    </row>
    <row r="150" spans="1:47" x14ac:dyDescent="0.2">
      <c r="B150" s="66" t="s">
        <v>89</v>
      </c>
      <c r="J150" s="66" t="s">
        <v>86</v>
      </c>
    </row>
    <row r="151" spans="1:47" x14ac:dyDescent="0.2">
      <c r="B151" s="66" t="s">
        <v>90</v>
      </c>
      <c r="J151" s="66" t="s">
        <v>158</v>
      </c>
      <c r="AQ151" s="207"/>
    </row>
    <row r="152" spans="1:47" x14ac:dyDescent="0.2">
      <c r="M152" s="176"/>
      <c r="N152" s="176"/>
      <c r="O152" s="176"/>
      <c r="P152" s="176"/>
      <c r="Q152" s="176"/>
      <c r="R152" s="176"/>
      <c r="S152" s="176"/>
      <c r="T152" s="176"/>
      <c r="U152" s="176"/>
      <c r="V152" s="176"/>
      <c r="W152" s="176"/>
      <c r="X152" s="176"/>
      <c r="Y152" s="176"/>
      <c r="Z152" s="176"/>
      <c r="AA152" s="176"/>
      <c r="AB152" s="176"/>
      <c r="AC152" s="176"/>
      <c r="AD152" s="176"/>
      <c r="AE152" s="176"/>
      <c r="AF152" s="176"/>
    </row>
  </sheetData>
  <mergeCells count="159">
    <mergeCell ref="J60:J65"/>
    <mergeCell ref="AN60:AO60"/>
    <mergeCell ref="AP60:AP65"/>
    <mergeCell ref="AQ60:AQ65"/>
    <mergeCell ref="AR60:AR65"/>
    <mergeCell ref="K61:K65"/>
    <mergeCell ref="L61:L65"/>
    <mergeCell ref="M61:M65"/>
    <mergeCell ref="N61:N65"/>
    <mergeCell ref="O61:O65"/>
    <mergeCell ref="P61:P65"/>
    <mergeCell ref="AH61:AH65"/>
    <mergeCell ref="AI61:AI65"/>
    <mergeCell ref="AJ61:AJ65"/>
    <mergeCell ref="AK61:AK65"/>
    <mergeCell ref="AN61:AN65"/>
    <mergeCell ref="AO61:AO65"/>
    <mergeCell ref="AA64:AA65"/>
    <mergeCell ref="AB64:AB65"/>
    <mergeCell ref="U63:U65"/>
    <mergeCell ref="V63:V65"/>
    <mergeCell ref="W63:W65"/>
    <mergeCell ref="X63:X65"/>
    <mergeCell ref="Y63:Y65"/>
    <mergeCell ref="AA60:AB60"/>
    <mergeCell ref="AC60:AC65"/>
    <mergeCell ref="AD60:AD65"/>
    <mergeCell ref="AE60:AH60"/>
    <mergeCell ref="AI60:AK60"/>
    <mergeCell ref="AM60:AM65"/>
    <mergeCell ref="AA61:AB62"/>
    <mergeCell ref="AE61:AE65"/>
    <mergeCell ref="AF61:AF65"/>
    <mergeCell ref="AG61:AG65"/>
    <mergeCell ref="M60:O60"/>
    <mergeCell ref="P60:R60"/>
    <mergeCell ref="S60:S65"/>
    <mergeCell ref="T60:T65"/>
    <mergeCell ref="U60:Z60"/>
    <mergeCell ref="Q61:Q65"/>
    <mergeCell ref="R61:R65"/>
    <mergeCell ref="U61:W62"/>
    <mergeCell ref="X61:Z62"/>
    <mergeCell ref="Z63:Z65"/>
    <mergeCell ref="A60:A65"/>
    <mergeCell ref="B60:B65"/>
    <mergeCell ref="C60:C65"/>
    <mergeCell ref="D60:D65"/>
    <mergeCell ref="E60:E65"/>
    <mergeCell ref="F60:F65"/>
    <mergeCell ref="G60:G65"/>
    <mergeCell ref="H60:H65"/>
    <mergeCell ref="I60:I65"/>
    <mergeCell ref="AI12:AK12"/>
    <mergeCell ref="AL12:AL17"/>
    <mergeCell ref="AM12:AM17"/>
    <mergeCell ref="AN12:AO12"/>
    <mergeCell ref="AP12:AP17"/>
    <mergeCell ref="AQ12:AQ17"/>
    <mergeCell ref="AO13:AO17"/>
    <mergeCell ref="AR12:AR17"/>
    <mergeCell ref="K13:K17"/>
    <mergeCell ref="L13:L17"/>
    <mergeCell ref="M13:M17"/>
    <mergeCell ref="N13:N17"/>
    <mergeCell ref="O13:O17"/>
    <mergeCell ref="P13:P17"/>
    <mergeCell ref="Q13:Q17"/>
    <mergeCell ref="R13:R17"/>
    <mergeCell ref="U13:W14"/>
    <mergeCell ref="AG13:AG17"/>
    <mergeCell ref="AH13:AH17"/>
    <mergeCell ref="AI13:AI17"/>
    <mergeCell ref="AJ13:AJ17"/>
    <mergeCell ref="AK13:AK17"/>
    <mergeCell ref="AN13:AN17"/>
    <mergeCell ref="U15:U17"/>
    <mergeCell ref="M12:O12"/>
    <mergeCell ref="P12:R12"/>
    <mergeCell ref="S12:S17"/>
    <mergeCell ref="T12:T17"/>
    <mergeCell ref="U12:Z12"/>
    <mergeCell ref="AA12:AB12"/>
    <mergeCell ref="AC12:AC17"/>
    <mergeCell ref="AD12:AD17"/>
    <mergeCell ref="AE12:AH12"/>
    <mergeCell ref="X13:Z14"/>
    <mergeCell ref="AA13:AB14"/>
    <mergeCell ref="AE13:AE17"/>
    <mergeCell ref="AF13:AF17"/>
    <mergeCell ref="V15:V17"/>
    <mergeCell ref="W15:W17"/>
    <mergeCell ref="X15:X17"/>
    <mergeCell ref="Y15:Y17"/>
    <mergeCell ref="Z15:Z17"/>
    <mergeCell ref="AA16:AA17"/>
    <mergeCell ref="AB16:AB17"/>
    <mergeCell ref="A12:A17"/>
    <mergeCell ref="B12:B17"/>
    <mergeCell ref="C12:C17"/>
    <mergeCell ref="D12:D17"/>
    <mergeCell ref="E12:E17"/>
    <mergeCell ref="F12:F17"/>
    <mergeCell ref="G12:G17"/>
    <mergeCell ref="H12:H17"/>
    <mergeCell ref="I12:I17"/>
    <mergeCell ref="J113:J118"/>
    <mergeCell ref="M113:O113"/>
    <mergeCell ref="P113:R113"/>
    <mergeCell ref="S113:S118"/>
    <mergeCell ref="T113:T118"/>
    <mergeCell ref="U113:Z113"/>
    <mergeCell ref="AA113:AB113"/>
    <mergeCell ref="A113:A118"/>
    <mergeCell ref="B113:B118"/>
    <mergeCell ref="C113:C118"/>
    <mergeCell ref="D113:D118"/>
    <mergeCell ref="E113:E118"/>
    <mergeCell ref="F113:F118"/>
    <mergeCell ref="G113:G118"/>
    <mergeCell ref="H113:H118"/>
    <mergeCell ref="I113:I118"/>
    <mergeCell ref="AC113:AC118"/>
    <mergeCell ref="AD113:AD118"/>
    <mergeCell ref="AE113:AH113"/>
    <mergeCell ref="AI113:AK113"/>
    <mergeCell ref="AM113:AM118"/>
    <mergeCell ref="AN113:AO113"/>
    <mergeCell ref="V116:V118"/>
    <mergeCell ref="W116:W118"/>
    <mergeCell ref="X116:X118"/>
    <mergeCell ref="Y116:Y118"/>
    <mergeCell ref="Z116:Z118"/>
    <mergeCell ref="AA117:AA118"/>
    <mergeCell ref="AB117:AB118"/>
    <mergeCell ref="AP113:AP118"/>
    <mergeCell ref="AQ113:AQ118"/>
    <mergeCell ref="AR113:AR118"/>
    <mergeCell ref="K114:K118"/>
    <mergeCell ref="L114:L118"/>
    <mergeCell ref="M114:M118"/>
    <mergeCell ref="N114:N118"/>
    <mergeCell ref="O114:O118"/>
    <mergeCell ref="P114:P118"/>
    <mergeCell ref="Q114:Q118"/>
    <mergeCell ref="R114:R118"/>
    <mergeCell ref="U114:W115"/>
    <mergeCell ref="X114:Z115"/>
    <mergeCell ref="AA114:AB115"/>
    <mergeCell ref="AE114:AE118"/>
    <mergeCell ref="AF114:AF118"/>
    <mergeCell ref="AG114:AG118"/>
    <mergeCell ref="AH114:AH118"/>
    <mergeCell ref="AI114:AI118"/>
    <mergeCell ref="AJ114:AJ118"/>
    <mergeCell ref="AK114:AK118"/>
    <mergeCell ref="AN114:AN118"/>
    <mergeCell ref="AO114:AO118"/>
    <mergeCell ref="U116:U118"/>
  </mergeCells>
  <pageMargins left="0.39370078740157483" right="0.15748031496062992" top="0.15748031496062992" bottom="0.15748031496062992" header="0.31496062992125984" footer="0.31496062992125984"/>
  <pageSetup paperSize="9" scale="58" fitToHeight="0" orientation="landscape" r:id="rId1"/>
  <rowBreaks count="2" manualBreakCount="2">
    <brk id="49" max="48" man="1"/>
    <brk id="101" max="48" man="1"/>
  </rowBreaks>
  <colBreaks count="1" manualBreakCount="1">
    <brk id="24" max="156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R59"/>
  <sheetViews>
    <sheetView view="pageBreakPreview" topLeftCell="S4" zoomScale="78" zoomScaleSheetLayoutView="78" workbookViewId="0">
      <selection activeCell="AI21" sqref="AI21"/>
    </sheetView>
  </sheetViews>
  <sheetFormatPr defaultColWidth="9.85546875" defaultRowHeight="12.75" x14ac:dyDescent="0.2"/>
  <cols>
    <col min="1" max="1" width="6.140625" customWidth="1"/>
    <col min="2" max="2" width="17.7109375" customWidth="1"/>
    <col min="3" max="3" width="5" customWidth="1"/>
    <col min="4" max="4" width="9.85546875" customWidth="1"/>
    <col min="5" max="5" width="6.140625" style="33" customWidth="1"/>
    <col min="6" max="6" width="6.28515625" customWidth="1"/>
    <col min="7" max="7" width="6.42578125" style="37" customWidth="1"/>
    <col min="8" max="8" width="10.42578125" customWidth="1"/>
    <col min="9" max="12" width="9.85546875" customWidth="1"/>
    <col min="13" max="13" width="6.7109375" customWidth="1"/>
    <col min="14" max="14" width="10.140625" customWidth="1"/>
    <col min="15" max="15" width="6.85546875" customWidth="1"/>
    <col min="16" max="16" width="9" customWidth="1"/>
    <col min="17" max="17" width="7.85546875" customWidth="1"/>
    <col min="18" max="18" width="7.28515625" customWidth="1"/>
    <col min="19" max="19" width="8.42578125" customWidth="1"/>
    <col min="20" max="24" width="8.28515625" customWidth="1"/>
    <col min="25" max="26" width="9.85546875" customWidth="1"/>
    <col min="27" max="27" width="7.85546875" customWidth="1"/>
    <col min="28" max="28" width="8.140625" customWidth="1"/>
    <col min="29" max="30" width="8.85546875" customWidth="1"/>
    <col min="31" max="31" width="9.85546875" customWidth="1"/>
    <col min="32" max="33" width="8" customWidth="1"/>
    <col min="34" max="34" width="9.85546875" customWidth="1"/>
    <col min="35" max="35" width="11.7109375" customWidth="1"/>
    <col min="36" max="36" width="9.85546875" customWidth="1"/>
    <col min="41" max="41" width="8.85546875" customWidth="1"/>
    <col min="43" max="43" width="10.7109375" customWidth="1"/>
  </cols>
  <sheetData>
    <row r="1" spans="1:38" ht="30.75" customHeight="1" x14ac:dyDescent="0.2">
      <c r="A1" s="66" t="s">
        <v>87</v>
      </c>
      <c r="B1" s="66"/>
      <c r="C1" s="66"/>
      <c r="D1" s="66"/>
      <c r="E1" s="66"/>
      <c r="M1" s="9"/>
    </row>
    <row r="2" spans="1:38" ht="15" customHeight="1" x14ac:dyDescent="0.2">
      <c r="A2" s="66" t="s">
        <v>88</v>
      </c>
      <c r="B2" s="66"/>
      <c r="C2" s="66"/>
      <c r="D2" s="66"/>
      <c r="E2" s="66"/>
      <c r="L2" s="9"/>
    </row>
    <row r="3" spans="1:38" ht="14.25" customHeight="1" x14ac:dyDescent="0.2"/>
    <row r="4" spans="1:38" ht="17.25" customHeight="1" x14ac:dyDescent="0.2">
      <c r="C4" s="9" t="s">
        <v>196</v>
      </c>
      <c r="D4" s="9"/>
      <c r="E4" s="9"/>
      <c r="L4" t="s">
        <v>189</v>
      </c>
    </row>
    <row r="5" spans="1:38" ht="47.25" customHeight="1" x14ac:dyDescent="0.2">
      <c r="A5" s="315" t="s">
        <v>18</v>
      </c>
      <c r="B5" s="316" t="s">
        <v>19</v>
      </c>
      <c r="C5" s="55" t="s">
        <v>26</v>
      </c>
      <c r="D5" s="55" t="s">
        <v>27</v>
      </c>
      <c r="E5" s="317" t="s">
        <v>28</v>
      </c>
      <c r="F5" s="317"/>
      <c r="G5" s="317"/>
      <c r="H5" s="318" t="s">
        <v>27</v>
      </c>
      <c r="I5" s="318"/>
      <c r="J5" s="318"/>
      <c r="K5" s="319">
        <v>0.25</v>
      </c>
      <c r="L5" s="323" t="s">
        <v>30</v>
      </c>
      <c r="M5" s="317" t="s">
        <v>29</v>
      </c>
      <c r="N5" s="317"/>
      <c r="O5" s="317"/>
      <c r="P5" s="317"/>
      <c r="Q5" s="317"/>
      <c r="R5" s="317"/>
      <c r="S5" s="325" t="s">
        <v>4</v>
      </c>
      <c r="T5" s="325"/>
      <c r="U5" s="326" t="s">
        <v>3</v>
      </c>
      <c r="V5" s="326" t="s">
        <v>43</v>
      </c>
      <c r="W5" s="325" t="s">
        <v>11</v>
      </c>
      <c r="X5" s="325"/>
      <c r="Y5" s="325"/>
      <c r="Z5" s="325"/>
      <c r="AA5" s="326" t="s">
        <v>6</v>
      </c>
      <c r="AB5" s="326"/>
      <c r="AC5" s="326"/>
      <c r="AD5" s="182"/>
      <c r="AE5" s="325" t="s">
        <v>12</v>
      </c>
      <c r="AF5" s="325" t="s">
        <v>16</v>
      </c>
      <c r="AG5" s="325"/>
      <c r="AH5" s="326" t="s">
        <v>14</v>
      </c>
      <c r="AI5" s="330" t="s">
        <v>31</v>
      </c>
      <c r="AJ5" s="323" t="s">
        <v>32</v>
      </c>
    </row>
    <row r="6" spans="1:38" ht="15.75" customHeight="1" x14ac:dyDescent="0.2">
      <c r="A6" s="315"/>
      <c r="B6" s="316"/>
      <c r="C6" s="321" t="s">
        <v>33</v>
      </c>
      <c r="D6" s="321" t="s">
        <v>33</v>
      </c>
      <c r="E6" s="322" t="s">
        <v>0</v>
      </c>
      <c r="F6" s="322" t="s">
        <v>1</v>
      </c>
      <c r="G6" s="322" t="s">
        <v>2</v>
      </c>
      <c r="H6" s="324" t="s">
        <v>0</v>
      </c>
      <c r="I6" s="322" t="s">
        <v>1</v>
      </c>
      <c r="J6" s="322" t="s">
        <v>2</v>
      </c>
      <c r="K6" s="319"/>
      <c r="L6" s="323"/>
      <c r="M6" s="317" t="s">
        <v>34</v>
      </c>
      <c r="N6" s="317"/>
      <c r="O6" s="317"/>
      <c r="P6" s="318" t="s">
        <v>35</v>
      </c>
      <c r="Q6" s="318"/>
      <c r="R6" s="318"/>
      <c r="S6" s="326" t="s">
        <v>17</v>
      </c>
      <c r="T6" s="327"/>
      <c r="U6" s="326"/>
      <c r="V6" s="320"/>
      <c r="W6" s="327" t="s">
        <v>10</v>
      </c>
      <c r="X6" s="326" t="s">
        <v>9</v>
      </c>
      <c r="Y6" s="324" t="s">
        <v>8</v>
      </c>
      <c r="Z6" s="324" t="s">
        <v>7</v>
      </c>
      <c r="AA6" s="328" t="s">
        <v>36</v>
      </c>
      <c r="AB6" s="328" t="s">
        <v>37</v>
      </c>
      <c r="AC6" s="328" t="s">
        <v>38</v>
      </c>
      <c r="AD6" s="183"/>
      <c r="AE6" s="325"/>
      <c r="AF6" s="327" t="s">
        <v>13</v>
      </c>
      <c r="AG6" s="327" t="s">
        <v>15</v>
      </c>
      <c r="AH6" s="326"/>
      <c r="AI6" s="330"/>
      <c r="AJ6" s="323"/>
    </row>
    <row r="7" spans="1:38" ht="15.75" customHeight="1" x14ac:dyDescent="0.2">
      <c r="A7" s="315"/>
      <c r="B7" s="316"/>
      <c r="C7" s="321"/>
      <c r="D7" s="321"/>
      <c r="E7" s="322"/>
      <c r="F7" s="322"/>
      <c r="G7" s="322"/>
      <c r="H7" s="324"/>
      <c r="I7" s="322"/>
      <c r="J7" s="322"/>
      <c r="K7" s="319"/>
      <c r="L7" s="323"/>
      <c r="M7" s="317"/>
      <c r="N7" s="317"/>
      <c r="O7" s="317"/>
      <c r="P7" s="318"/>
      <c r="Q7" s="318"/>
      <c r="R7" s="318"/>
      <c r="S7" s="327"/>
      <c r="T7" s="327"/>
      <c r="U7" s="326"/>
      <c r="V7" s="320"/>
      <c r="W7" s="327"/>
      <c r="X7" s="326"/>
      <c r="Y7" s="324"/>
      <c r="Z7" s="324"/>
      <c r="AA7" s="328"/>
      <c r="AB7" s="328"/>
      <c r="AC7" s="328"/>
      <c r="AD7" s="183"/>
      <c r="AE7" s="325"/>
      <c r="AF7" s="327"/>
      <c r="AG7" s="327"/>
      <c r="AH7" s="326"/>
      <c r="AI7" s="330"/>
      <c r="AJ7" s="323"/>
    </row>
    <row r="8" spans="1:38" x14ac:dyDescent="0.2">
      <c r="A8" s="315"/>
      <c r="B8" s="316"/>
      <c r="C8" s="321"/>
      <c r="D8" s="321"/>
      <c r="E8" s="322"/>
      <c r="F8" s="322"/>
      <c r="G8" s="322"/>
      <c r="H8" s="324"/>
      <c r="I8" s="322"/>
      <c r="J8" s="322"/>
      <c r="K8" s="320"/>
      <c r="L8" s="323"/>
      <c r="M8" s="322" t="s">
        <v>0</v>
      </c>
      <c r="N8" s="322" t="s">
        <v>1</v>
      </c>
      <c r="O8" s="322" t="s">
        <v>2</v>
      </c>
      <c r="P8" s="324" t="s">
        <v>0</v>
      </c>
      <c r="Q8" s="324">
        <v>7</v>
      </c>
      <c r="R8" s="324">
        <v>1</v>
      </c>
      <c r="S8" s="181"/>
      <c r="T8" s="181"/>
      <c r="U8" s="326"/>
      <c r="V8" s="320"/>
      <c r="W8" s="327"/>
      <c r="X8" s="326"/>
      <c r="Y8" s="324"/>
      <c r="Z8" s="324"/>
      <c r="AA8" s="328"/>
      <c r="AB8" s="328"/>
      <c r="AC8" s="328"/>
      <c r="AD8" s="183"/>
      <c r="AE8" s="325"/>
      <c r="AF8" s="327"/>
      <c r="AG8" s="327"/>
      <c r="AH8" s="326"/>
      <c r="AI8" s="330"/>
      <c r="AJ8" s="323"/>
    </row>
    <row r="9" spans="1:38" ht="15.75" customHeight="1" x14ac:dyDescent="0.2">
      <c r="A9" s="315"/>
      <c r="B9" s="316"/>
      <c r="C9" s="321"/>
      <c r="D9" s="321"/>
      <c r="E9" s="322"/>
      <c r="F9" s="322"/>
      <c r="G9" s="322"/>
      <c r="H9" s="324"/>
      <c r="I9" s="322"/>
      <c r="J9" s="322"/>
      <c r="K9" s="320"/>
      <c r="L9" s="323"/>
      <c r="M9" s="322"/>
      <c r="N9" s="322"/>
      <c r="O9" s="322"/>
      <c r="P9" s="324"/>
      <c r="Q9" s="324"/>
      <c r="R9" s="324"/>
      <c r="S9" s="329" t="s">
        <v>0</v>
      </c>
      <c r="T9" s="329" t="s">
        <v>5</v>
      </c>
      <c r="U9" s="326"/>
      <c r="V9" s="320"/>
      <c r="W9" s="327"/>
      <c r="X9" s="326"/>
      <c r="Y9" s="324"/>
      <c r="Z9" s="324"/>
      <c r="AA9" s="328"/>
      <c r="AB9" s="328"/>
      <c r="AC9" s="328"/>
      <c r="AD9" s="183"/>
      <c r="AE9" s="325"/>
      <c r="AF9" s="327"/>
      <c r="AG9" s="327"/>
      <c r="AH9" s="326"/>
      <c r="AI9" s="330"/>
      <c r="AJ9" s="323"/>
    </row>
    <row r="10" spans="1:38" ht="23.45" customHeight="1" x14ac:dyDescent="0.2">
      <c r="A10" s="315"/>
      <c r="B10" s="316"/>
      <c r="C10" s="321"/>
      <c r="D10" s="321"/>
      <c r="E10" s="322"/>
      <c r="F10" s="322"/>
      <c r="G10" s="322"/>
      <c r="H10" s="324"/>
      <c r="I10" s="322"/>
      <c r="J10" s="322"/>
      <c r="K10" s="320"/>
      <c r="L10" s="323"/>
      <c r="M10" s="322"/>
      <c r="N10" s="322"/>
      <c r="O10" s="322"/>
      <c r="P10" s="324"/>
      <c r="Q10" s="324"/>
      <c r="R10" s="324"/>
      <c r="S10" s="329"/>
      <c r="T10" s="329"/>
      <c r="U10" s="326"/>
      <c r="V10" s="320"/>
      <c r="W10" s="327"/>
      <c r="X10" s="326"/>
      <c r="Y10" s="324"/>
      <c r="Z10" s="324"/>
      <c r="AA10" s="328"/>
      <c r="AB10" s="328"/>
      <c r="AC10" s="328"/>
      <c r="AD10" s="183"/>
      <c r="AE10" s="325"/>
      <c r="AF10" s="327"/>
      <c r="AG10" s="327"/>
      <c r="AH10" s="326"/>
      <c r="AI10" s="330"/>
      <c r="AJ10" s="323"/>
    </row>
    <row r="11" spans="1:38" ht="15" customHeight="1" x14ac:dyDescent="0.2">
      <c r="A11" s="160">
        <v>1</v>
      </c>
      <c r="B11" s="161" t="s">
        <v>85</v>
      </c>
      <c r="C11" s="1">
        <f>'бестерек  дежурный'!K24</f>
        <v>28.5</v>
      </c>
      <c r="D11" s="1">
        <f>'бестерек  дежурный'!L24</f>
        <v>94288.141249999986</v>
      </c>
      <c r="E11" s="1">
        <f>'бестерек  дежурный'!M24</f>
        <v>25</v>
      </c>
      <c r="F11" s="1">
        <f>'бестерек  дежурный'!N24</f>
        <v>0</v>
      </c>
      <c r="G11" s="1">
        <f>'бестерек  дежурный'!O24</f>
        <v>0</v>
      </c>
      <c r="H11" s="1">
        <f>'бестерек  дежурный'!P24</f>
        <v>130997.12666666668</v>
      </c>
      <c r="I11" s="1">
        <f>'бестерек  дежурный'!Q24</f>
        <v>0</v>
      </c>
      <c r="J11" s="1">
        <f>'бестерек  дежурный'!R24</f>
        <v>0</v>
      </c>
      <c r="K11" s="1">
        <f>'бестерек  дежурный'!S24</f>
        <v>56321.316979166673</v>
      </c>
      <c r="L11" s="1">
        <f>'бестерек  дежурный'!T24</f>
        <v>28160.65848958334</v>
      </c>
      <c r="M11" s="1">
        <f>'бестерек  дежурный'!U24</f>
        <v>0</v>
      </c>
      <c r="N11" s="1">
        <f>'бестерек  дежурный'!V24</f>
        <v>0</v>
      </c>
      <c r="O11" s="1">
        <f>'бестерек  дежурный'!W24</f>
        <v>0</v>
      </c>
      <c r="P11" s="1">
        <f>'бестерек  дежурный'!X24</f>
        <v>0</v>
      </c>
      <c r="Q11" s="1">
        <f>'бестерек  дежурный'!Y24</f>
        <v>0</v>
      </c>
      <c r="R11" s="1">
        <f>'бестерек  дежурный'!Z24</f>
        <v>0</v>
      </c>
      <c r="S11" s="1">
        <f>'бестерек  дежурный'!AA24</f>
        <v>0</v>
      </c>
      <c r="T11" s="1">
        <f>'бестерек  дежурный'!AB24</f>
        <v>0</v>
      </c>
      <c r="U11" s="1">
        <f>'бестерек  дежурный'!AC24</f>
        <v>0</v>
      </c>
      <c r="V11" s="1">
        <f>'бестерек  дежурный'!AD24</f>
        <v>0</v>
      </c>
      <c r="W11" s="1">
        <f>'бестерек  дежурный'!AE24</f>
        <v>0</v>
      </c>
      <c r="X11" s="1">
        <f>'бестерек  дежурный'!AF24</f>
        <v>53189.31666666668</v>
      </c>
      <c r="Y11" s="1">
        <f>'бестерек  дежурный'!AG24</f>
        <v>0</v>
      </c>
      <c r="Z11" s="1">
        <f>'бестерек  дежурный'!AH24</f>
        <v>3436</v>
      </c>
      <c r="AA11" s="1">
        <f>'бестерек  дежурный'!AI24</f>
        <v>0</v>
      </c>
      <c r="AB11" s="1">
        <f>'бестерек  дежурный'!AJ24</f>
        <v>0</v>
      </c>
      <c r="AC11" s="1">
        <f>'бестерек  дежурный'!AK24</f>
        <v>0</v>
      </c>
      <c r="AD11" s="1">
        <f>'бестерек  дежурный'!AL24</f>
        <v>0</v>
      </c>
      <c r="AE11" s="1">
        <f>'бестерек  дежурный'!AM24</f>
        <v>49123.922500000008</v>
      </c>
      <c r="AF11" s="1">
        <f>'бестерек  дежурный'!AN24</f>
        <v>0</v>
      </c>
      <c r="AG11" s="1">
        <f>'бестерек  дежурный'!AO24</f>
        <v>0</v>
      </c>
      <c r="AH11" s="1">
        <f>'бестерек  дежурный'!AP24</f>
        <v>105749.23916666668</v>
      </c>
      <c r="AI11" s="1">
        <f>'бестерек  дежурный'!AQ24</f>
        <v>415516.48255208333</v>
      </c>
      <c r="AJ11" s="1">
        <f>'бестерек  дежурный'!AR24</f>
        <v>309767.24338541669</v>
      </c>
      <c r="AK11" s="3"/>
      <c r="AL11" s="149"/>
    </row>
    <row r="12" spans="1:38" ht="17.25" customHeight="1" x14ac:dyDescent="0.2">
      <c r="A12" s="160">
        <v>2</v>
      </c>
      <c r="B12" s="161" t="s">
        <v>187</v>
      </c>
      <c r="C12" s="1" t="e">
        <f>'ЛСШ 1 дежурн'!#REF!</f>
        <v>#REF!</v>
      </c>
      <c r="D12" s="1" t="e">
        <f>'ЛСШ 1 дежурн'!#REF!</f>
        <v>#REF!</v>
      </c>
      <c r="E12" s="1" t="e">
        <f>'ЛСШ 1 дежурн'!#REF!</f>
        <v>#REF!</v>
      </c>
      <c r="F12" s="1" t="e">
        <f>'ЛСШ 1 дежурн'!#REF!</f>
        <v>#REF!</v>
      </c>
      <c r="G12" s="1" t="e">
        <f>'ЛСШ 1 дежурн'!#REF!</f>
        <v>#REF!</v>
      </c>
      <c r="H12" s="1" t="e">
        <f>'ЛСШ 1 дежурн'!#REF!</f>
        <v>#REF!</v>
      </c>
      <c r="I12" s="1" t="e">
        <f>'ЛСШ 1 дежурн'!#REF!</f>
        <v>#REF!</v>
      </c>
      <c r="J12" s="1" t="e">
        <f>'ЛСШ 1 дежурн'!#REF!</f>
        <v>#REF!</v>
      </c>
      <c r="K12" s="1" t="e">
        <f>'ЛСШ 1 дежурн'!#REF!</f>
        <v>#REF!</v>
      </c>
      <c r="L12" s="1" t="e">
        <f>'ЛСШ 1 дежурн'!#REF!</f>
        <v>#REF!</v>
      </c>
      <c r="M12" s="1" t="e">
        <f>'ЛСШ 1 дежурн'!#REF!</f>
        <v>#REF!</v>
      </c>
      <c r="N12" s="1" t="e">
        <f>'ЛСШ 1 дежурн'!#REF!</f>
        <v>#REF!</v>
      </c>
      <c r="O12" s="1" t="e">
        <f>'ЛСШ 1 дежурн'!#REF!</f>
        <v>#REF!</v>
      </c>
      <c r="P12" s="1" t="e">
        <f>'ЛСШ 1 дежурн'!#REF!</f>
        <v>#REF!</v>
      </c>
      <c r="Q12" s="1" t="e">
        <f>'ЛСШ 1 дежурн'!#REF!</f>
        <v>#REF!</v>
      </c>
      <c r="R12" s="1" t="e">
        <f>'ЛСШ 1 дежурн'!#REF!</f>
        <v>#REF!</v>
      </c>
      <c r="S12" s="1" t="e">
        <f>'ЛСШ 1 дежурн'!#REF!</f>
        <v>#REF!</v>
      </c>
      <c r="T12" s="1" t="e">
        <f>'ЛСШ 1 дежурн'!#REF!</f>
        <v>#REF!</v>
      </c>
      <c r="U12" s="1" t="e">
        <f>'ЛСШ 1 дежурн'!#REF!</f>
        <v>#REF!</v>
      </c>
      <c r="V12" s="1" t="e">
        <f>'ЛСШ 1 дежурн'!#REF!</f>
        <v>#REF!</v>
      </c>
      <c r="W12" s="1" t="e">
        <f>'ЛСШ 1 дежурн'!#REF!</f>
        <v>#REF!</v>
      </c>
      <c r="X12" s="1" t="e">
        <f>'ЛСШ 1 дежурн'!#REF!</f>
        <v>#REF!</v>
      </c>
      <c r="Y12" s="1" t="e">
        <f>'ЛСШ 1 дежурн'!#REF!</f>
        <v>#REF!</v>
      </c>
      <c r="Z12" s="1" t="e">
        <f>'ЛСШ 1 дежурн'!#REF!</f>
        <v>#REF!</v>
      </c>
      <c r="AA12" s="1" t="e">
        <f>'ЛСШ 1 дежурн'!#REF!</f>
        <v>#REF!</v>
      </c>
      <c r="AB12" s="1" t="e">
        <f>'ЛСШ 1 дежурн'!#REF!</f>
        <v>#REF!</v>
      </c>
      <c r="AC12" s="1" t="e">
        <f>'ЛСШ 1 дежурн'!#REF!</f>
        <v>#REF!</v>
      </c>
      <c r="AD12" s="1" t="e">
        <f>'ЛСШ 1 дежурн'!#REF!</f>
        <v>#REF!</v>
      </c>
      <c r="AE12" s="1" t="e">
        <f>'ЛСШ 1 дежурн'!#REF!</f>
        <v>#REF!</v>
      </c>
      <c r="AF12" s="1" t="e">
        <f>'ЛСШ 1 дежурн'!#REF!</f>
        <v>#REF!</v>
      </c>
      <c r="AG12" s="1" t="e">
        <f>'ЛСШ 1 дежурн'!#REF!</f>
        <v>#REF!</v>
      </c>
      <c r="AH12" s="1" t="e">
        <f>'ЛСШ 1 дежурн'!#REF!</f>
        <v>#REF!</v>
      </c>
      <c r="AI12" s="1" t="e">
        <f>'ЛСШ 1 дежурн'!#REF!</f>
        <v>#REF!</v>
      </c>
      <c r="AJ12" s="1" t="e">
        <f>'ЛСШ 1 дежурн'!#REF!</f>
        <v>#REF!</v>
      </c>
      <c r="AK12" s="3"/>
      <c r="AL12" s="149"/>
    </row>
    <row r="13" spans="1:38" ht="14.25" customHeight="1" thickBot="1" x14ac:dyDescent="0.25">
      <c r="A13" s="160">
        <v>3</v>
      </c>
      <c r="B13" s="161" t="s">
        <v>134</v>
      </c>
      <c r="C13" s="1">
        <f>'Тсш дежурн'!K96</f>
        <v>25</v>
      </c>
      <c r="D13" s="1">
        <f>'Тсш дежурн'!L96</f>
        <v>139507.66312499999</v>
      </c>
      <c r="E13" s="1">
        <f>'Тсш дежурн'!M96</f>
        <v>178</v>
      </c>
      <c r="F13" s="1">
        <f>'Тсш дежурн'!N96</f>
        <v>0</v>
      </c>
      <c r="G13" s="1">
        <f>'Тсш дежурн'!O96</f>
        <v>0</v>
      </c>
      <c r="H13" s="1">
        <f>'Тсш дежурн'!P96</f>
        <v>1238731.01</v>
      </c>
      <c r="I13" s="1">
        <f>'Тсш дежурн'!Q96</f>
        <v>0</v>
      </c>
      <c r="J13" s="1">
        <f>'Тсш дежурн'!R96</f>
        <v>0</v>
      </c>
      <c r="K13" s="1">
        <f>'Тсш дежурн'!S96</f>
        <v>344559.66828124999</v>
      </c>
      <c r="L13" s="1">
        <f>'Тсш дежурн'!T96</f>
        <v>172279.834140625</v>
      </c>
      <c r="M13" s="1">
        <f>'Тсш дежурн'!U96</f>
        <v>0</v>
      </c>
      <c r="N13" s="1">
        <f>'Тсш дежурн'!V96</f>
        <v>0</v>
      </c>
      <c r="O13" s="1">
        <f>'Тсш дежурн'!W96</f>
        <v>0</v>
      </c>
      <c r="P13" s="1">
        <f>'Тсш дежурн'!X96</f>
        <v>0</v>
      </c>
      <c r="Q13" s="1">
        <f>'Тсш дежурн'!Y96</f>
        <v>0</v>
      </c>
      <c r="R13" s="1">
        <f>'Тсш дежурн'!Z96</f>
        <v>0</v>
      </c>
      <c r="S13" s="1">
        <f>'Тсш дежурн'!AA96</f>
        <v>0</v>
      </c>
      <c r="T13" s="1">
        <f>'Тсш дежурн'!AB96</f>
        <v>0</v>
      </c>
      <c r="U13" s="1">
        <f>'Тсш дежурн'!AC96</f>
        <v>0</v>
      </c>
      <c r="V13" s="1">
        <f>'Тсш дежурн'!AD96</f>
        <v>0</v>
      </c>
      <c r="W13" s="1">
        <f>'Тсш дежурн'!AE96</f>
        <v>0</v>
      </c>
      <c r="X13" s="1">
        <f>'Тсш дежурн'!AF96</f>
        <v>125154.85875000001</v>
      </c>
      <c r="Y13" s="1">
        <f>'Тсш дежурн'!AG96</f>
        <v>144893.52828124998</v>
      </c>
      <c r="Z13" s="1">
        <f>'Тсш дежурн'!AH96</f>
        <v>119863.99312500001</v>
      </c>
      <c r="AA13" s="1">
        <f>'Тсш дежурн'!AI96</f>
        <v>0</v>
      </c>
      <c r="AB13" s="1">
        <f>'Тсш дежурн'!AJ96</f>
        <v>0</v>
      </c>
      <c r="AC13" s="1">
        <f>'Тсш дежурн'!AK96</f>
        <v>0</v>
      </c>
      <c r="AD13" s="1">
        <f>'Тсш дежурн'!AL96</f>
        <v>0</v>
      </c>
      <c r="AE13" s="1">
        <f>'Тсш дежурн'!AM96</f>
        <v>464524.12874999992</v>
      </c>
      <c r="AF13" s="1">
        <f>'Тсш дежурн'!AN96</f>
        <v>0</v>
      </c>
      <c r="AG13" s="1">
        <f>'Тсш дежурн'!AO96</f>
        <v>0</v>
      </c>
      <c r="AH13" s="1">
        <f>'Тсш дежурн'!AP96</f>
        <v>854436.50890624989</v>
      </c>
      <c r="AI13" s="1">
        <f>'Тсш дежурн'!AQ96</f>
        <v>2726291.0657031252</v>
      </c>
      <c r="AJ13" s="1">
        <f>'Тсш дежурн'!AR96</f>
        <v>1871854.5567968749</v>
      </c>
      <c r="AK13" s="3"/>
      <c r="AL13" s="149"/>
    </row>
    <row r="14" spans="1:38" ht="13.5" thickBot="1" x14ac:dyDescent="0.25">
      <c r="A14" s="162"/>
      <c r="B14" s="163" t="s">
        <v>58</v>
      </c>
      <c r="C14" s="6" t="e">
        <f t="shared" ref="C14:AC14" si="0">SUM(C11:C13)</f>
        <v>#REF!</v>
      </c>
      <c r="D14" s="6" t="e">
        <f t="shared" si="0"/>
        <v>#REF!</v>
      </c>
      <c r="E14" s="8" t="e">
        <f t="shared" si="0"/>
        <v>#REF!</v>
      </c>
      <c r="F14" s="8" t="e">
        <f t="shared" si="0"/>
        <v>#REF!</v>
      </c>
      <c r="G14" s="8" t="e">
        <f t="shared" si="0"/>
        <v>#REF!</v>
      </c>
      <c r="H14" s="8" t="e">
        <f t="shared" si="0"/>
        <v>#REF!</v>
      </c>
      <c r="I14" s="8" t="e">
        <f t="shared" si="0"/>
        <v>#REF!</v>
      </c>
      <c r="J14" s="8" t="e">
        <f t="shared" si="0"/>
        <v>#REF!</v>
      </c>
      <c r="K14" s="8" t="e">
        <f t="shared" si="0"/>
        <v>#REF!</v>
      </c>
      <c r="L14" s="8" t="e">
        <f t="shared" si="0"/>
        <v>#REF!</v>
      </c>
      <c r="M14" s="8" t="e">
        <f t="shared" si="0"/>
        <v>#REF!</v>
      </c>
      <c r="N14" s="8" t="e">
        <f t="shared" si="0"/>
        <v>#REF!</v>
      </c>
      <c r="O14" s="8" t="e">
        <f t="shared" si="0"/>
        <v>#REF!</v>
      </c>
      <c r="P14" s="8" t="e">
        <f t="shared" si="0"/>
        <v>#REF!</v>
      </c>
      <c r="Q14" s="8" t="e">
        <f t="shared" si="0"/>
        <v>#REF!</v>
      </c>
      <c r="R14" s="8" t="e">
        <f t="shared" si="0"/>
        <v>#REF!</v>
      </c>
      <c r="S14" s="8" t="e">
        <f t="shared" si="0"/>
        <v>#REF!</v>
      </c>
      <c r="T14" s="8" t="e">
        <f t="shared" si="0"/>
        <v>#REF!</v>
      </c>
      <c r="U14" s="8" t="e">
        <f t="shared" si="0"/>
        <v>#REF!</v>
      </c>
      <c r="V14" s="8" t="e">
        <f t="shared" si="0"/>
        <v>#REF!</v>
      </c>
      <c r="W14" s="8" t="e">
        <f t="shared" si="0"/>
        <v>#REF!</v>
      </c>
      <c r="X14" s="8" t="e">
        <f t="shared" si="0"/>
        <v>#REF!</v>
      </c>
      <c r="Y14" s="8" t="e">
        <f t="shared" si="0"/>
        <v>#REF!</v>
      </c>
      <c r="Z14" s="8" t="e">
        <f t="shared" si="0"/>
        <v>#REF!</v>
      </c>
      <c r="AA14" s="8" t="e">
        <f t="shared" si="0"/>
        <v>#REF!</v>
      </c>
      <c r="AB14" s="8" t="e">
        <f t="shared" si="0"/>
        <v>#REF!</v>
      </c>
      <c r="AC14" s="8" t="e">
        <f t="shared" si="0"/>
        <v>#REF!</v>
      </c>
      <c r="AD14" s="8"/>
      <c r="AE14" s="8" t="e">
        <f t="shared" ref="AE14:AJ14" si="1">SUM(AE11:AE13)</f>
        <v>#REF!</v>
      </c>
      <c r="AF14" s="8" t="e">
        <f t="shared" si="1"/>
        <v>#REF!</v>
      </c>
      <c r="AG14" s="8" t="e">
        <f t="shared" si="1"/>
        <v>#REF!</v>
      </c>
      <c r="AH14" s="8" t="e">
        <f t="shared" si="1"/>
        <v>#REF!</v>
      </c>
      <c r="AI14" s="71" t="e">
        <f t="shared" si="1"/>
        <v>#REF!</v>
      </c>
      <c r="AJ14" s="71" t="e">
        <f t="shared" si="1"/>
        <v>#REF!</v>
      </c>
      <c r="AK14" s="3"/>
      <c r="AL14" s="149"/>
    </row>
    <row r="15" spans="1:38" x14ac:dyDescent="0.2">
      <c r="A15" s="1"/>
      <c r="B15" s="1"/>
      <c r="C15" s="1"/>
      <c r="D15" s="1"/>
      <c r="E15" s="4"/>
      <c r="F15" s="1"/>
      <c r="G15" s="39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3"/>
      <c r="AL15" s="3"/>
    </row>
    <row r="16" spans="1:38" x14ac:dyDescent="0.2">
      <c r="AK16" s="3"/>
      <c r="AL16" s="3"/>
    </row>
    <row r="17" spans="1:44" x14ac:dyDescent="0.2">
      <c r="S17" s="59"/>
      <c r="AI17" s="49" t="e">
        <f>AI14*12/1000</f>
        <v>#REF!</v>
      </c>
      <c r="AK17" s="3"/>
      <c r="AL17" s="3"/>
    </row>
    <row r="18" spans="1:44" x14ac:dyDescent="0.2">
      <c r="H18" s="49"/>
    </row>
    <row r="19" spans="1:44" x14ac:dyDescent="0.2">
      <c r="F19" t="s">
        <v>157</v>
      </c>
      <c r="AI19" s="49"/>
    </row>
    <row r="20" spans="1:44" x14ac:dyDescent="0.2">
      <c r="AN20" s="154">
        <v>0.06</v>
      </c>
      <c r="AO20" s="173">
        <v>3.5000000000000003E-2</v>
      </c>
      <c r="AP20" s="154">
        <v>0.02</v>
      </c>
      <c r="AR20" t="s">
        <v>188</v>
      </c>
    </row>
    <row r="21" spans="1:44" x14ac:dyDescent="0.2">
      <c r="A21" s="160">
        <v>1</v>
      </c>
      <c r="B21" s="164" t="s">
        <v>85</v>
      </c>
      <c r="C21" s="1">
        <f>'бестерек  дежурный'!K51</f>
        <v>28.5</v>
      </c>
      <c r="D21" s="1">
        <f>'бестерек  дежурный'!L51</f>
        <v>144020.39812499998</v>
      </c>
      <c r="E21" s="1">
        <f>'бестерек  дежурный'!M51</f>
        <v>0</v>
      </c>
      <c r="F21" s="1">
        <f>'бестерек  дежурный'!N51</f>
        <v>0</v>
      </c>
      <c r="G21" s="1">
        <f>'бестерек  дежурный'!O51</f>
        <v>0</v>
      </c>
      <c r="H21" s="1">
        <f>'бестерек  дежурный'!P51</f>
        <v>0</v>
      </c>
      <c r="I21" s="1">
        <f>'бестерек  дежурный'!Q51</f>
        <v>0</v>
      </c>
      <c r="J21" s="1">
        <f>'бестерек  дежурный'!R51</f>
        <v>0</v>
      </c>
      <c r="K21" s="1">
        <f>'бестерек  дежурный'!S51</f>
        <v>36005.099531249994</v>
      </c>
      <c r="L21" s="1">
        <f>'бестерек  дежурный'!T51</f>
        <v>18002.549765625001</v>
      </c>
      <c r="M21" s="1">
        <f>'бестерек  дежурный'!U51</f>
        <v>0</v>
      </c>
      <c r="N21" s="1">
        <f>'бестерек  дежурный'!V51</f>
        <v>0</v>
      </c>
      <c r="O21" s="1">
        <f>'бестерек  дежурный'!W51</f>
        <v>0</v>
      </c>
      <c r="P21" s="1">
        <f>'бестерек  дежурный'!X51</f>
        <v>0</v>
      </c>
      <c r="Q21" s="1">
        <f>'бестерек  дежурный'!Y51</f>
        <v>0</v>
      </c>
      <c r="R21" s="1">
        <f>'бестерек  дежурный'!Z51</f>
        <v>0</v>
      </c>
      <c r="S21" s="1">
        <f>'бестерек  дежурный'!AA51</f>
        <v>0</v>
      </c>
      <c r="T21" s="1">
        <f>'бестерек  дежурный'!AB51</f>
        <v>0</v>
      </c>
      <c r="U21" s="1">
        <f>'бестерек  дежурный'!AC51</f>
        <v>0</v>
      </c>
      <c r="V21" s="1">
        <f>'бестерек  дежурный'!AD51</f>
        <v>0</v>
      </c>
      <c r="W21" s="1">
        <f>'бестерек  дежурный'!AE51</f>
        <v>0</v>
      </c>
      <c r="X21" s="1">
        <f>'бестерек  дежурный'!AF51</f>
        <v>59993</v>
      </c>
      <c r="Y21" s="1">
        <f>'бестерек  дежурный'!AG51</f>
        <v>0</v>
      </c>
      <c r="Z21" s="1">
        <f>'бестерек  дежурный'!AH51</f>
        <v>0</v>
      </c>
      <c r="AA21" s="1">
        <f>'бестерек  дежурный'!AI51</f>
        <v>0</v>
      </c>
      <c r="AB21" s="1">
        <f>'бестерек  дежурный'!AJ51</f>
        <v>0</v>
      </c>
      <c r="AC21" s="1">
        <f>'бестерек  дежурный'!AK51</f>
        <v>0</v>
      </c>
      <c r="AD21" s="1">
        <f>'бестерек  дежурный'!AL51</f>
        <v>0</v>
      </c>
      <c r="AE21" s="1">
        <f>'бестерек  дежурный'!AM51</f>
        <v>0</v>
      </c>
      <c r="AF21" s="1">
        <f>'бестерек  дежурный'!AN51</f>
        <v>0</v>
      </c>
      <c r="AG21" s="1">
        <f>'бестерек  дежурный'!AO51</f>
        <v>0</v>
      </c>
      <c r="AH21" s="1">
        <f>'бестерек  дежурный'!AP51</f>
        <v>59993</v>
      </c>
      <c r="AI21" s="1">
        <f>'бестерек  дежурный'!AQ51</f>
        <v>258021.04742187497</v>
      </c>
      <c r="AJ21" s="1">
        <f>'бестерек  дежурный'!AR51</f>
        <v>198028.04742187497</v>
      </c>
      <c r="AK21" s="2">
        <f>AI21*12/1000</f>
        <v>3096.2525690624998</v>
      </c>
      <c r="AL21" s="172">
        <f>AK21*10%</f>
        <v>309.62525690625</v>
      </c>
      <c r="AM21" s="172">
        <f>AK21-AL21</f>
        <v>2786.6273121562499</v>
      </c>
      <c r="AN21" s="172">
        <f>AM21*6%</f>
        <v>167.197638729375</v>
      </c>
      <c r="AO21" s="54">
        <f>AM21*3.5%</f>
        <v>97.53195592546875</v>
      </c>
      <c r="AP21" s="172">
        <f>AK21*2%</f>
        <v>61.92505138125</v>
      </c>
      <c r="AQ21" s="172">
        <f>AK21+AN21+AO21+AP21</f>
        <v>3422.907215098593</v>
      </c>
      <c r="AR21">
        <f>(H21+D21+I21+J21+K21)/1000</f>
        <v>180.02549765624997</v>
      </c>
    </row>
    <row r="22" spans="1:44" x14ac:dyDescent="0.2">
      <c r="A22" s="160">
        <v>2</v>
      </c>
      <c r="B22" s="164" t="s">
        <v>187</v>
      </c>
      <c r="C22" s="1">
        <f>'ЛСШ 1 дежурн'!L24</f>
        <v>0</v>
      </c>
      <c r="D22" s="1">
        <f>'ЛСШ 1 дежурн'!M24</f>
        <v>0</v>
      </c>
      <c r="E22" s="1">
        <f>'ЛСШ 1 дежурн'!N24</f>
        <v>19</v>
      </c>
      <c r="F22" s="1">
        <f>'ЛСШ 1 дежурн'!O24</f>
        <v>0</v>
      </c>
      <c r="G22" s="1">
        <f>'ЛСШ 1 дежурн'!P24</f>
        <v>0</v>
      </c>
      <c r="H22" s="1">
        <f>'ЛСШ 1 дежурн'!Q24</f>
        <v>116490.50250000002</v>
      </c>
      <c r="I22" s="1">
        <f>'ЛСШ 1 дежурн'!R24</f>
        <v>0</v>
      </c>
      <c r="J22" s="1">
        <f>'ЛСШ 1 дежурн'!S24</f>
        <v>0</v>
      </c>
      <c r="K22" s="1">
        <f>'ЛСШ 1 дежурн'!T24</f>
        <v>29122.625625000004</v>
      </c>
      <c r="L22" s="1">
        <f>'ЛСШ 1 дежурн'!U24</f>
        <v>14561.312812500004</v>
      </c>
      <c r="M22" s="1">
        <f>'ЛСШ 1 дежурн'!V24</f>
        <v>0</v>
      </c>
      <c r="N22" s="1">
        <f>'ЛСШ 1 дежурн'!W24</f>
        <v>0</v>
      </c>
      <c r="O22" s="1">
        <f>'ЛСШ 1 дежурн'!X24</f>
        <v>0</v>
      </c>
      <c r="P22" s="1">
        <f>'ЛСШ 1 дежурн'!Y24</f>
        <v>0</v>
      </c>
      <c r="Q22" s="1">
        <f>'ЛСШ 1 дежурн'!Z24</f>
        <v>0</v>
      </c>
      <c r="R22" s="1">
        <f>'ЛСШ 1 дежурн'!AA24</f>
        <v>0</v>
      </c>
      <c r="S22" s="1">
        <f>'ЛСШ 1 дежурн'!AB24</f>
        <v>0</v>
      </c>
      <c r="T22" s="1">
        <f>'ЛСШ 1 дежурн'!AC24</f>
        <v>0</v>
      </c>
      <c r="U22" s="1">
        <f>'ЛСШ 1 дежурн'!AD24</f>
        <v>0</v>
      </c>
      <c r="V22" s="1">
        <f>'ЛСШ 1 дежурн'!AE24</f>
        <v>0</v>
      </c>
      <c r="W22" s="1">
        <f>'ЛСШ 1 дежурн'!AF24</f>
        <v>0</v>
      </c>
      <c r="X22" s="1">
        <f>'ЛСШ 1 дежурн'!AG24</f>
        <v>0</v>
      </c>
      <c r="Y22" s="1">
        <f>'ЛСШ 1 дежурн'!AH24</f>
        <v>0</v>
      </c>
      <c r="Z22" s="1">
        <f>'ЛСШ 1 дежурн'!AI24</f>
        <v>0</v>
      </c>
      <c r="AA22" s="1">
        <f>'ЛСШ 1 дежурн'!AJ24</f>
        <v>0</v>
      </c>
      <c r="AB22" s="1">
        <f>'ЛСШ 1 дежурн'!AK24</f>
        <v>0</v>
      </c>
      <c r="AC22" s="1">
        <f>'ЛСШ 1 дежурн'!AL24</f>
        <v>0</v>
      </c>
      <c r="AD22" s="1">
        <f>'ЛСШ 1 дежурн'!AM24</f>
        <v>0</v>
      </c>
      <c r="AE22" s="1">
        <f>'ЛСШ 1 дежурн'!AN24</f>
        <v>43683.938437500001</v>
      </c>
      <c r="AF22" s="1">
        <f>'ЛСШ 1 дежурн'!AO24</f>
        <v>0</v>
      </c>
      <c r="AG22" s="1">
        <f>'ЛСШ 1 дежурн'!AP24</f>
        <v>0</v>
      </c>
      <c r="AH22" s="1">
        <f>'ЛСШ 1 дежурн'!AQ24</f>
        <v>43683.938437500001</v>
      </c>
      <c r="AI22" s="1">
        <f>'ЛСШ 1 дежурн'!AR24</f>
        <v>203858.37937500002</v>
      </c>
      <c r="AJ22" s="1">
        <f>'ЛСШ 1 дежурн'!AS24</f>
        <v>160174.44093750004</v>
      </c>
      <c r="AK22" s="2">
        <f>AI22*12/1000</f>
        <v>2446.3005525000003</v>
      </c>
      <c r="AL22" s="172">
        <f>AK22*10%</f>
        <v>244.63005525000005</v>
      </c>
      <c r="AM22" s="172">
        <f>AK22-AL22</f>
        <v>2201.6704972500002</v>
      </c>
      <c r="AN22" s="172">
        <f>AM22*6%</f>
        <v>132.10022983499999</v>
      </c>
      <c r="AO22" s="54">
        <f>AM22*3.5%</f>
        <v>77.058467403750015</v>
      </c>
      <c r="AP22" s="172">
        <f>AK22*2%</f>
        <v>48.926011050000007</v>
      </c>
      <c r="AQ22" s="172">
        <f>AK22+AN22+AO22+AP22</f>
        <v>2704.3852607887502</v>
      </c>
      <c r="AR22">
        <f>(H22+D22+I22+J22+K22)/1000</f>
        <v>145.61312812500003</v>
      </c>
    </row>
    <row r="23" spans="1:44" ht="13.5" thickBot="1" x14ac:dyDescent="0.25">
      <c r="A23" s="160">
        <v>3</v>
      </c>
      <c r="B23" s="164" t="s">
        <v>134</v>
      </c>
      <c r="C23" s="1">
        <f>'Тсш дежурн'!K96</f>
        <v>25</v>
      </c>
      <c r="D23" s="1">
        <f>'Тсш дежурн'!L96</f>
        <v>139507.66312499999</v>
      </c>
      <c r="E23" s="1">
        <f>'Тсш дежурн'!M96</f>
        <v>178</v>
      </c>
      <c r="F23" s="1">
        <f>'Тсш дежурн'!N96</f>
        <v>0</v>
      </c>
      <c r="G23" s="1">
        <f>'Тсш дежурн'!O96</f>
        <v>0</v>
      </c>
      <c r="H23" s="1">
        <f>'Тсш дежурн'!P96</f>
        <v>1238731.01</v>
      </c>
      <c r="I23" s="1">
        <f>'Тсш дежурн'!Q96</f>
        <v>0</v>
      </c>
      <c r="J23" s="1">
        <f>'Тсш дежурн'!R96</f>
        <v>0</v>
      </c>
      <c r="K23" s="1">
        <f>'Тсш дежурн'!S96</f>
        <v>344559.66828124999</v>
      </c>
      <c r="L23" s="1">
        <f>'Тсш дежурн'!T96</f>
        <v>172279.834140625</v>
      </c>
      <c r="M23" s="1">
        <f>'Тсш дежурн'!U96</f>
        <v>0</v>
      </c>
      <c r="N23" s="1">
        <f>'Тсш дежурн'!V96</f>
        <v>0</v>
      </c>
      <c r="O23" s="1">
        <f>'Тсш дежурн'!W96</f>
        <v>0</v>
      </c>
      <c r="P23" s="1">
        <f>'Тсш дежурн'!X96</f>
        <v>0</v>
      </c>
      <c r="Q23" s="1">
        <f>'Тсш дежурн'!Y96</f>
        <v>0</v>
      </c>
      <c r="R23" s="1">
        <f>'Тсш дежурн'!Z96</f>
        <v>0</v>
      </c>
      <c r="S23" s="1">
        <f>'Тсш дежурн'!AA96</f>
        <v>0</v>
      </c>
      <c r="T23" s="1">
        <f>'Тсш дежурн'!AB96</f>
        <v>0</v>
      </c>
      <c r="U23" s="1">
        <f>'Тсш дежурн'!AC96</f>
        <v>0</v>
      </c>
      <c r="V23" s="1">
        <f>'Тсш дежурн'!AD96</f>
        <v>0</v>
      </c>
      <c r="W23" s="1">
        <f>'Тсш дежурн'!AE96</f>
        <v>0</v>
      </c>
      <c r="X23" s="1">
        <f>'Тсш дежурн'!AF96</f>
        <v>125154.85875000001</v>
      </c>
      <c r="Y23" s="1">
        <f>'Тсш дежурн'!AG96</f>
        <v>144893.52828124998</v>
      </c>
      <c r="Z23" s="1">
        <f>'Тсш дежурн'!AH96</f>
        <v>119863.99312500001</v>
      </c>
      <c r="AA23" s="1">
        <f>'Тсш дежурн'!AI96</f>
        <v>0</v>
      </c>
      <c r="AB23" s="1">
        <f>'Тсш дежурн'!AJ96</f>
        <v>0</v>
      </c>
      <c r="AC23" s="1">
        <f>'Тсш дежурн'!AK96</f>
        <v>0</v>
      </c>
      <c r="AD23" s="1">
        <f>'Тсш дежурн'!AL96</f>
        <v>0</v>
      </c>
      <c r="AE23" s="1">
        <f>'Тсш дежурн'!AM96</f>
        <v>464524.12874999992</v>
      </c>
      <c r="AF23" s="1">
        <f>'Тсш дежурн'!AN96</f>
        <v>0</v>
      </c>
      <c r="AG23" s="1">
        <f>'Тсш дежурн'!AO96</f>
        <v>0</v>
      </c>
      <c r="AH23" s="1">
        <f>'Тсш дежурн'!AP96</f>
        <v>854436.50890624989</v>
      </c>
      <c r="AI23" s="1">
        <f>'Тсш дежурн'!AQ96</f>
        <v>2726291.0657031252</v>
      </c>
      <c r="AJ23" s="1">
        <f>'Тсш дежурн'!AR96</f>
        <v>1871854.5567968749</v>
      </c>
      <c r="AK23" s="1" t="e">
        <f>#REF!</f>
        <v>#REF!</v>
      </c>
      <c r="AL23" s="172" t="e">
        <f>AK23*10%</f>
        <v>#REF!</v>
      </c>
      <c r="AM23" s="172" t="e">
        <f>AK23-AL23</f>
        <v>#REF!</v>
      </c>
      <c r="AN23" s="172" t="e">
        <f>AM23*6%</f>
        <v>#REF!</v>
      </c>
      <c r="AO23" s="54" t="e">
        <f>AM23*3.5%</f>
        <v>#REF!</v>
      </c>
      <c r="AP23" s="172" t="e">
        <f>AK23*2%</f>
        <v>#REF!</v>
      </c>
      <c r="AQ23" s="172" t="e">
        <f>AK23+AN23+AO23+AP23</f>
        <v>#REF!</v>
      </c>
      <c r="AR23">
        <f>(H23+D23+I23+J23+K23)/1000</f>
        <v>1722.7983414062498</v>
      </c>
    </row>
    <row r="24" spans="1:44" s="58" customFormat="1" ht="13.5" thickBot="1" x14ac:dyDescent="0.25">
      <c r="A24" s="168"/>
      <c r="B24" s="169" t="s">
        <v>58</v>
      </c>
      <c r="C24" s="170">
        <f t="shared" ref="C24:AC24" si="2">SUM(C21:C23)</f>
        <v>53.5</v>
      </c>
      <c r="D24" s="170">
        <f t="shared" si="2"/>
        <v>283528.06124999997</v>
      </c>
      <c r="E24" s="170">
        <f t="shared" si="2"/>
        <v>197</v>
      </c>
      <c r="F24" s="170">
        <f t="shared" si="2"/>
        <v>0</v>
      </c>
      <c r="G24" s="170">
        <f t="shared" si="2"/>
        <v>0</v>
      </c>
      <c r="H24" s="170">
        <f t="shared" si="2"/>
        <v>1355221.5125</v>
      </c>
      <c r="I24" s="170">
        <f t="shared" si="2"/>
        <v>0</v>
      </c>
      <c r="J24" s="170">
        <f t="shared" si="2"/>
        <v>0</v>
      </c>
      <c r="K24" s="170">
        <f t="shared" si="2"/>
        <v>409687.3934375</v>
      </c>
      <c r="L24" s="170">
        <f t="shared" si="2"/>
        <v>204843.69671875</v>
      </c>
      <c r="M24" s="170">
        <f t="shared" si="2"/>
        <v>0</v>
      </c>
      <c r="N24" s="170">
        <f t="shared" si="2"/>
        <v>0</v>
      </c>
      <c r="O24" s="170">
        <f t="shared" si="2"/>
        <v>0</v>
      </c>
      <c r="P24" s="170">
        <f t="shared" si="2"/>
        <v>0</v>
      </c>
      <c r="Q24" s="170">
        <f t="shared" si="2"/>
        <v>0</v>
      </c>
      <c r="R24" s="170">
        <f t="shared" si="2"/>
        <v>0</v>
      </c>
      <c r="S24" s="170">
        <f t="shared" si="2"/>
        <v>0</v>
      </c>
      <c r="T24" s="170">
        <f t="shared" si="2"/>
        <v>0</v>
      </c>
      <c r="U24" s="170">
        <f t="shared" si="2"/>
        <v>0</v>
      </c>
      <c r="V24" s="170">
        <f t="shared" si="2"/>
        <v>0</v>
      </c>
      <c r="W24" s="170">
        <f t="shared" si="2"/>
        <v>0</v>
      </c>
      <c r="X24" s="170">
        <f t="shared" si="2"/>
        <v>185147.85875000001</v>
      </c>
      <c r="Y24" s="170">
        <f t="shared" si="2"/>
        <v>144893.52828124998</v>
      </c>
      <c r="Z24" s="170">
        <f t="shared" si="2"/>
        <v>119863.99312500001</v>
      </c>
      <c r="AA24" s="170">
        <f t="shared" si="2"/>
        <v>0</v>
      </c>
      <c r="AB24" s="170">
        <f t="shared" si="2"/>
        <v>0</v>
      </c>
      <c r="AC24" s="170">
        <f t="shared" si="2"/>
        <v>0</v>
      </c>
      <c r="AD24" s="170"/>
      <c r="AE24" s="170">
        <f t="shared" ref="AE24:AK24" si="3">SUM(AE21:AE23)</f>
        <v>508208.0671874999</v>
      </c>
      <c r="AF24" s="170">
        <f t="shared" si="3"/>
        <v>0</v>
      </c>
      <c r="AG24" s="170">
        <f t="shared" si="3"/>
        <v>0</v>
      </c>
      <c r="AH24" s="170">
        <f t="shared" si="3"/>
        <v>958113.44734374993</v>
      </c>
      <c r="AI24" s="170">
        <f t="shared" si="3"/>
        <v>3188170.4925000002</v>
      </c>
      <c r="AJ24" s="170">
        <f t="shared" si="3"/>
        <v>2230057.0451562498</v>
      </c>
      <c r="AK24" s="171" t="e">
        <f t="shared" si="3"/>
        <v>#REF!</v>
      </c>
      <c r="AL24" s="172" t="e">
        <f>AK24*10%</f>
        <v>#REF!</v>
      </c>
      <c r="AM24" s="172" t="e">
        <f>AK24-AL24</f>
        <v>#REF!</v>
      </c>
      <c r="AN24" s="172" t="e">
        <f>AM24*6%</f>
        <v>#REF!</v>
      </c>
      <c r="AO24" s="54" t="e">
        <f>AM24*3.5%</f>
        <v>#REF!</v>
      </c>
      <c r="AP24" s="172" t="e">
        <f>AK24*2%</f>
        <v>#REF!</v>
      </c>
      <c r="AQ24" s="172" t="e">
        <f>AK24+AN24+AO24+AP24</f>
        <v>#REF!</v>
      </c>
      <c r="AR24">
        <f>(H24+D24+I24+J24+K24)/1000</f>
        <v>2048.4369671875002</v>
      </c>
    </row>
    <row r="25" spans="1:44" x14ac:dyDescent="0.2"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</row>
    <row r="26" spans="1:44" x14ac:dyDescent="0.2">
      <c r="E26"/>
      <c r="G26"/>
    </row>
    <row r="27" spans="1:44" x14ac:dyDescent="0.2">
      <c r="E27"/>
      <c r="G27"/>
    </row>
    <row r="28" spans="1:44" x14ac:dyDescent="0.2">
      <c r="E28"/>
      <c r="G28"/>
      <c r="AI28" s="49">
        <f>D24+H24+K24+L24+X24+Y24+Z24+AE24</f>
        <v>3211394.1112500001</v>
      </c>
    </row>
    <row r="29" spans="1:44" x14ac:dyDescent="0.2">
      <c r="E29"/>
      <c r="G29"/>
    </row>
    <row r="30" spans="1:44" x14ac:dyDescent="0.2">
      <c r="E30"/>
      <c r="G30"/>
      <c r="AI30" s="49"/>
    </row>
    <row r="31" spans="1:44" x14ac:dyDescent="0.2">
      <c r="E31"/>
      <c r="G31"/>
    </row>
    <row r="32" spans="1:44" x14ac:dyDescent="0.2">
      <c r="E32"/>
      <c r="G32"/>
    </row>
    <row r="33" spans="5:7" x14ac:dyDescent="0.2">
      <c r="E33"/>
      <c r="G33"/>
    </row>
    <row r="34" spans="5:7" x14ac:dyDescent="0.2">
      <c r="E34"/>
      <c r="G34"/>
    </row>
    <row r="35" spans="5:7" x14ac:dyDescent="0.2">
      <c r="E35"/>
      <c r="G35"/>
    </row>
    <row r="36" spans="5:7" x14ac:dyDescent="0.2">
      <c r="E36"/>
      <c r="G36"/>
    </row>
    <row r="37" spans="5:7" x14ac:dyDescent="0.2">
      <c r="E37"/>
      <c r="G37"/>
    </row>
    <row r="38" spans="5:7" x14ac:dyDescent="0.2">
      <c r="E38"/>
      <c r="G38"/>
    </row>
    <row r="39" spans="5:7" x14ac:dyDescent="0.2">
      <c r="E39"/>
      <c r="G39"/>
    </row>
    <row r="40" spans="5:7" x14ac:dyDescent="0.2">
      <c r="E40"/>
      <c r="G40"/>
    </row>
    <row r="41" spans="5:7" x14ac:dyDescent="0.2">
      <c r="E41"/>
      <c r="G41"/>
    </row>
    <row r="42" spans="5:7" x14ac:dyDescent="0.2">
      <c r="E42"/>
      <c r="G42"/>
    </row>
    <row r="43" spans="5:7" x14ac:dyDescent="0.2">
      <c r="E43"/>
      <c r="G43"/>
    </row>
    <row r="44" spans="5:7" x14ac:dyDescent="0.2">
      <c r="E44"/>
      <c r="G44"/>
    </row>
    <row r="45" spans="5:7" x14ac:dyDescent="0.2">
      <c r="E45"/>
      <c r="G45"/>
    </row>
    <row r="46" spans="5:7" x14ac:dyDescent="0.2">
      <c r="E46"/>
      <c r="G46"/>
    </row>
    <row r="47" spans="5:7" x14ac:dyDescent="0.2">
      <c r="E47"/>
      <c r="G47"/>
    </row>
    <row r="49" spans="19:24" ht="29.25" customHeight="1" x14ac:dyDescent="0.2">
      <c r="T49" s="1"/>
      <c r="U49" s="1"/>
      <c r="V49" s="10" t="s">
        <v>165</v>
      </c>
      <c r="W49" s="6"/>
      <c r="X49" s="6" t="s">
        <v>166</v>
      </c>
    </row>
    <row r="50" spans="19:24" x14ac:dyDescent="0.2">
      <c r="S50" t="s">
        <v>168</v>
      </c>
      <c r="T50" s="1">
        <v>2</v>
      </c>
      <c r="U50" s="1" t="s">
        <v>167</v>
      </c>
      <c r="V50" s="1">
        <v>112903</v>
      </c>
      <c r="W50" s="1"/>
      <c r="X50" s="1">
        <v>47118</v>
      </c>
    </row>
    <row r="51" spans="19:24" x14ac:dyDescent="0.2">
      <c r="S51" t="s">
        <v>168</v>
      </c>
      <c r="T51" s="1">
        <v>29</v>
      </c>
      <c r="U51" s="1" t="s">
        <v>169</v>
      </c>
      <c r="V51" s="1">
        <v>1982318</v>
      </c>
      <c r="W51" s="1"/>
      <c r="X51" s="1">
        <v>1113495</v>
      </c>
    </row>
    <row r="52" spans="19:24" x14ac:dyDescent="0.2">
      <c r="S52" t="s">
        <v>168</v>
      </c>
      <c r="T52" s="1">
        <v>8</v>
      </c>
      <c r="U52" s="1" t="s">
        <v>170</v>
      </c>
      <c r="V52" s="1">
        <v>761148</v>
      </c>
      <c r="W52" s="1"/>
      <c r="X52" s="1">
        <v>761148</v>
      </c>
    </row>
    <row r="53" spans="19:24" x14ac:dyDescent="0.2">
      <c r="S53" t="s">
        <v>175</v>
      </c>
      <c r="T53" s="1">
        <v>520</v>
      </c>
      <c r="U53" s="1" t="s">
        <v>171</v>
      </c>
      <c r="V53" s="1">
        <v>54611527</v>
      </c>
      <c r="W53" s="1"/>
      <c r="X53" s="1">
        <v>49153145</v>
      </c>
    </row>
    <row r="54" spans="19:24" x14ac:dyDescent="0.2">
      <c r="S54" t="s">
        <v>168</v>
      </c>
      <c r="T54" s="1">
        <v>663</v>
      </c>
      <c r="U54" s="1" t="s">
        <v>172</v>
      </c>
      <c r="V54" s="1">
        <v>44969259</v>
      </c>
      <c r="W54" s="1"/>
      <c r="X54" s="1">
        <v>19347676</v>
      </c>
    </row>
    <row r="55" spans="19:24" x14ac:dyDescent="0.2">
      <c r="S55" t="s">
        <v>175</v>
      </c>
      <c r="T55" s="1">
        <v>10</v>
      </c>
      <c r="U55" s="1" t="s">
        <v>173</v>
      </c>
      <c r="V55" s="1">
        <v>1074141</v>
      </c>
      <c r="W55" s="1"/>
      <c r="X55" s="1">
        <v>762695</v>
      </c>
    </row>
    <row r="56" spans="19:24" x14ac:dyDescent="0.2">
      <c r="S56" t="s">
        <v>168</v>
      </c>
      <c r="T56" s="1">
        <v>67.7</v>
      </c>
      <c r="U56" s="1" t="s">
        <v>174</v>
      </c>
      <c r="V56" s="1">
        <v>4286573</v>
      </c>
      <c r="W56" s="1"/>
      <c r="X56" s="1">
        <v>3961575</v>
      </c>
    </row>
    <row r="57" spans="19:24" x14ac:dyDescent="0.2">
      <c r="T57" s="7">
        <f>SUM(T50:T56)</f>
        <v>1299.7</v>
      </c>
      <c r="U57" s="6" t="s">
        <v>176</v>
      </c>
      <c r="V57" s="6">
        <f>SUM(V50:V56)</f>
        <v>107797869</v>
      </c>
      <c r="W57" s="1"/>
      <c r="X57" s="6">
        <f>SUM(X50:X56)</f>
        <v>75146852</v>
      </c>
    </row>
    <row r="58" spans="19:24" ht="25.5" x14ac:dyDescent="0.2">
      <c r="T58" s="1"/>
      <c r="U58" s="67" t="s">
        <v>177</v>
      </c>
      <c r="V58" s="68">
        <f>V57-V59</f>
        <v>100887524</v>
      </c>
      <c r="W58" s="1"/>
      <c r="X58" s="1"/>
    </row>
    <row r="59" spans="19:24" x14ac:dyDescent="0.2">
      <c r="T59" s="1">
        <v>103</v>
      </c>
      <c r="U59" s="1" t="s">
        <v>178</v>
      </c>
      <c r="V59" s="1">
        <v>6910345</v>
      </c>
      <c r="W59" s="1"/>
      <c r="X59" s="1"/>
    </row>
  </sheetData>
  <mergeCells count="45">
    <mergeCell ref="AE5:AE10"/>
    <mergeCell ref="AF5:AG5"/>
    <mergeCell ref="AH5:AH10"/>
    <mergeCell ref="AI5:AI10"/>
    <mergeCell ref="AJ5:AJ10"/>
    <mergeCell ref="AF6:AF10"/>
    <mergeCell ref="AG6:AG10"/>
    <mergeCell ref="S5:T5"/>
    <mergeCell ref="U5:U10"/>
    <mergeCell ref="V5:V10"/>
    <mergeCell ref="W5:Z5"/>
    <mergeCell ref="AA5:AC5"/>
    <mergeCell ref="S6:T7"/>
    <mergeCell ref="W6:W10"/>
    <mergeCell ref="X6:X10"/>
    <mergeCell ref="Y6:Y10"/>
    <mergeCell ref="Z6:Z10"/>
    <mergeCell ref="AA6:AA10"/>
    <mergeCell ref="AB6:AB10"/>
    <mergeCell ref="AC6:AC10"/>
    <mergeCell ref="S9:S10"/>
    <mergeCell ref="T9:T10"/>
    <mergeCell ref="L5:L10"/>
    <mergeCell ref="H6:H10"/>
    <mergeCell ref="I6:I10"/>
    <mergeCell ref="J6:J10"/>
    <mergeCell ref="M5:R5"/>
    <mergeCell ref="M6:O7"/>
    <mergeCell ref="P6:R7"/>
    <mergeCell ref="M8:M10"/>
    <mergeCell ref="N8:N10"/>
    <mergeCell ref="O8:O10"/>
    <mergeCell ref="P8:P10"/>
    <mergeCell ref="Q8:Q10"/>
    <mergeCell ref="R8:R10"/>
    <mergeCell ref="A5:A10"/>
    <mergeCell ref="B5:B10"/>
    <mergeCell ref="E5:G5"/>
    <mergeCell ref="H5:J5"/>
    <mergeCell ref="K5:K10"/>
    <mergeCell ref="C6:C10"/>
    <mergeCell ref="D6:D10"/>
    <mergeCell ref="E6:E10"/>
    <mergeCell ref="F6:F10"/>
    <mergeCell ref="G6:G10"/>
  </mergeCells>
  <pageMargins left="0.19685039370078741" right="0.19685039370078741" top="0.19685039370078741" bottom="0.19685039370078741" header="0.31496062992125984" footer="0.31496062992125984"/>
  <pageSetup paperSize="9" scale="75" orientation="landscape" r:id="rId1"/>
  <rowBreaks count="1" manualBreakCount="1">
    <brk id="32" max="49" man="1"/>
  </rowBreaks>
  <colBreaks count="1" manualBreakCount="1">
    <brk id="20" max="60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3:AV29"/>
  <sheetViews>
    <sheetView topLeftCell="A5" zoomScale="90" zoomScaleNormal="90" workbookViewId="0">
      <selection activeCell="A2" sqref="A2:AS41"/>
    </sheetView>
  </sheetViews>
  <sheetFormatPr defaultRowHeight="12.75" x14ac:dyDescent="0.2"/>
  <cols>
    <col min="1" max="2" width="4.5703125" customWidth="1"/>
    <col min="3" max="3" width="18.42578125" customWidth="1"/>
    <col min="5" max="5" width="9.42578125" customWidth="1"/>
    <col min="6" max="6" width="6.5703125" customWidth="1"/>
    <col min="7" max="7" width="6.85546875" customWidth="1"/>
    <col min="8" max="8" width="6.140625" customWidth="1"/>
    <col min="9" max="9" width="7.42578125" customWidth="1"/>
    <col min="10" max="11" width="8.140625" customWidth="1"/>
    <col min="14" max="14" width="6.5703125" style="33" customWidth="1"/>
    <col min="15" max="15" width="6.140625" customWidth="1"/>
    <col min="16" max="16" width="6.42578125" style="37" customWidth="1"/>
    <col min="17" max="17" width="10" customWidth="1"/>
    <col min="18" max="18" width="9.5703125" customWidth="1"/>
    <col min="19" max="19" width="7.42578125" customWidth="1"/>
    <col min="20" max="20" width="9.5703125" customWidth="1"/>
    <col min="21" max="21" width="11" customWidth="1"/>
    <col min="22" max="22" width="4.5703125" customWidth="1"/>
    <col min="23" max="23" width="5.5703125" customWidth="1"/>
    <col min="24" max="24" width="6.5703125" customWidth="1"/>
    <col min="25" max="40" width="8.140625" customWidth="1"/>
    <col min="44" max="44" width="9.42578125" bestFit="1" customWidth="1"/>
  </cols>
  <sheetData>
    <row r="3" spans="2:45" x14ac:dyDescent="0.2">
      <c r="O3" s="1" t="s">
        <v>161</v>
      </c>
      <c r="P3" s="39"/>
      <c r="Q3" s="1"/>
      <c r="R3" s="1" t="s">
        <v>44</v>
      </c>
      <c r="S3" s="1" t="s">
        <v>45</v>
      </c>
      <c r="T3" s="1" t="s">
        <v>46</v>
      </c>
      <c r="U3" s="1" t="s">
        <v>47</v>
      </c>
    </row>
    <row r="4" spans="2:45" x14ac:dyDescent="0.2">
      <c r="C4" s="9" t="s">
        <v>87</v>
      </c>
      <c r="D4" s="9"/>
      <c r="E4" s="9"/>
      <c r="F4" s="9"/>
      <c r="G4" s="9"/>
      <c r="H4" s="9"/>
      <c r="I4" s="9"/>
      <c r="J4" s="9"/>
      <c r="K4" s="9"/>
      <c r="L4" s="9"/>
      <c r="M4" s="9"/>
      <c r="O4" s="1" t="s">
        <v>48</v>
      </c>
      <c r="P4" s="39"/>
      <c r="Q4" s="1"/>
      <c r="R4" s="1">
        <v>5</v>
      </c>
      <c r="S4" s="1">
        <v>5</v>
      </c>
      <c r="T4" s="1">
        <v>2</v>
      </c>
      <c r="U4" s="1">
        <v>12</v>
      </c>
    </row>
    <row r="5" spans="2:45" x14ac:dyDescent="0.2">
      <c r="C5" s="9" t="s">
        <v>88</v>
      </c>
      <c r="D5" s="9"/>
      <c r="E5" s="9"/>
      <c r="F5" s="9"/>
      <c r="G5" s="9"/>
      <c r="H5" s="9"/>
      <c r="I5" s="9"/>
      <c r="J5" s="9"/>
      <c r="K5" s="9"/>
      <c r="L5" s="9"/>
      <c r="M5" s="9"/>
      <c r="O5" s="1" t="s">
        <v>49</v>
      </c>
      <c r="P5" s="39"/>
      <c r="Q5" s="1"/>
      <c r="R5" s="1">
        <v>5</v>
      </c>
      <c r="S5" s="1">
        <v>5</v>
      </c>
      <c r="T5" s="1">
        <v>2</v>
      </c>
      <c r="U5" s="1">
        <v>12</v>
      </c>
    </row>
    <row r="6" spans="2:45" x14ac:dyDescent="0.2">
      <c r="C6" s="9"/>
      <c r="D6" s="9"/>
      <c r="E6" s="9"/>
      <c r="F6" s="9"/>
      <c r="G6" s="9"/>
      <c r="H6" s="9"/>
      <c r="I6" s="9"/>
      <c r="J6" s="9"/>
      <c r="K6" s="9"/>
      <c r="L6" s="9"/>
      <c r="M6" s="9"/>
      <c r="O6" s="1" t="s">
        <v>59</v>
      </c>
      <c r="P6" s="63"/>
      <c r="Q6" s="64"/>
      <c r="R6" s="1">
        <v>85</v>
      </c>
      <c r="S6" s="1">
        <v>79</v>
      </c>
      <c r="T6" s="1">
        <v>17</v>
      </c>
      <c r="U6" s="1">
        <f>R6+S6+T6</f>
        <v>181</v>
      </c>
    </row>
    <row r="7" spans="2:45" x14ac:dyDescent="0.2">
      <c r="C7" s="9"/>
      <c r="D7" s="9"/>
      <c r="E7" s="9"/>
      <c r="F7" s="9"/>
      <c r="G7" s="9"/>
      <c r="H7" s="9"/>
      <c r="I7" s="9"/>
      <c r="J7" s="9"/>
      <c r="K7" s="9"/>
      <c r="L7" s="9"/>
      <c r="M7" s="9"/>
      <c r="O7" s="1" t="s">
        <v>164</v>
      </c>
      <c r="P7" s="39"/>
      <c r="Q7" s="1"/>
      <c r="R7" s="1">
        <v>125</v>
      </c>
      <c r="S7" s="1">
        <v>167</v>
      </c>
      <c r="T7" s="1">
        <v>71</v>
      </c>
      <c r="U7" s="1">
        <f>R7+S7+T7</f>
        <v>363</v>
      </c>
    </row>
    <row r="8" spans="2:45" x14ac:dyDescent="0.2">
      <c r="C8" s="9"/>
      <c r="D8" s="9"/>
      <c r="E8" s="9"/>
      <c r="F8" s="9"/>
      <c r="G8" s="9"/>
      <c r="H8" s="9"/>
      <c r="I8" s="9"/>
      <c r="J8" s="9"/>
      <c r="K8" s="9"/>
      <c r="L8" s="9"/>
      <c r="M8" s="9"/>
      <c r="O8" s="1" t="s">
        <v>51</v>
      </c>
      <c r="P8" s="39"/>
      <c r="Q8" s="1"/>
      <c r="R8" s="1">
        <f>R7+R9+R10</f>
        <v>137</v>
      </c>
      <c r="S8" s="1">
        <f>S7+S9+S10</f>
        <v>191</v>
      </c>
      <c r="T8" s="1">
        <f>T7+T9+T10</f>
        <v>79</v>
      </c>
      <c r="U8" s="1">
        <f>R8+S8+T8</f>
        <v>407</v>
      </c>
    </row>
    <row r="9" spans="2:45" x14ac:dyDescent="0.2">
      <c r="C9" s="9"/>
      <c r="D9" s="9"/>
      <c r="E9" s="9"/>
      <c r="F9" s="9"/>
      <c r="G9" s="9"/>
      <c r="H9" s="9"/>
      <c r="I9" s="9"/>
      <c r="J9" s="9"/>
      <c r="K9" s="9"/>
      <c r="L9" s="9"/>
      <c r="M9" s="9"/>
      <c r="O9" s="1" t="s">
        <v>52</v>
      </c>
      <c r="P9" s="39"/>
      <c r="Q9" s="1"/>
      <c r="R9" s="1">
        <v>7</v>
      </c>
      <c r="S9" s="1">
        <v>6</v>
      </c>
      <c r="T9" s="1">
        <v>7</v>
      </c>
      <c r="U9" s="1">
        <f>R9+S9+T9</f>
        <v>20</v>
      </c>
    </row>
    <row r="10" spans="2:45" x14ac:dyDescent="0.2">
      <c r="C10" s="9"/>
      <c r="D10" s="9"/>
      <c r="E10" s="9"/>
      <c r="F10" s="9" t="s">
        <v>210</v>
      </c>
      <c r="G10" s="9"/>
      <c r="H10" s="9"/>
      <c r="I10" s="9"/>
      <c r="J10" s="9"/>
      <c r="K10" s="9"/>
      <c r="L10" s="9"/>
      <c r="M10" s="9"/>
      <c r="O10" s="369" t="s">
        <v>53</v>
      </c>
      <c r="P10" s="370"/>
      <c r="Q10" s="371"/>
      <c r="R10" s="1">
        <v>5</v>
      </c>
      <c r="S10" s="1">
        <v>18</v>
      </c>
      <c r="T10" s="1">
        <v>1</v>
      </c>
      <c r="U10" s="1">
        <f>R10+S10+T10</f>
        <v>24</v>
      </c>
    </row>
    <row r="11" spans="2:45" x14ac:dyDescent="0.2">
      <c r="C11" s="9"/>
      <c r="D11" s="9"/>
      <c r="E11" s="9"/>
      <c r="F11" s="9"/>
      <c r="G11" s="9"/>
      <c r="H11" s="9"/>
      <c r="I11" s="9"/>
      <c r="J11" s="9" t="s">
        <v>103</v>
      </c>
      <c r="K11" s="9"/>
      <c r="L11" s="9"/>
      <c r="M11" s="9"/>
      <c r="O11" s="1"/>
      <c r="P11" s="39" t="s">
        <v>54</v>
      </c>
      <c r="Q11" s="1"/>
      <c r="R11" s="1">
        <v>48</v>
      </c>
      <c r="S11" s="1"/>
      <c r="T11" s="1"/>
      <c r="U11" s="1">
        <v>12</v>
      </c>
    </row>
    <row r="12" spans="2:45" x14ac:dyDescent="0.2">
      <c r="P12" s="37" t="s">
        <v>101</v>
      </c>
      <c r="S12" t="s">
        <v>107</v>
      </c>
    </row>
    <row r="13" spans="2:45" x14ac:dyDescent="0.2">
      <c r="I13" t="s">
        <v>195</v>
      </c>
    </row>
    <row r="14" spans="2:45" ht="13.5" thickBot="1" x14ac:dyDescent="0.25">
      <c r="N14" s="75"/>
      <c r="O14" s="3"/>
      <c r="P14" s="76"/>
      <c r="Q14" s="3"/>
      <c r="R14" s="3"/>
      <c r="S14" s="3"/>
      <c r="T14" s="3"/>
      <c r="U14" s="3"/>
      <c r="V14" s="3"/>
    </row>
    <row r="15" spans="2:45" ht="38.25" x14ac:dyDescent="0.2">
      <c r="B15" s="69"/>
      <c r="C15" s="372" t="s">
        <v>19</v>
      </c>
      <c r="D15" s="375" t="s">
        <v>20</v>
      </c>
      <c r="E15" s="376" t="s">
        <v>21</v>
      </c>
      <c r="F15" s="375" t="s">
        <v>22</v>
      </c>
      <c r="G15" s="375" t="s">
        <v>23</v>
      </c>
      <c r="H15" s="375" t="s">
        <v>24</v>
      </c>
      <c r="I15" s="375" t="s">
        <v>55</v>
      </c>
      <c r="J15" s="375" t="s">
        <v>25</v>
      </c>
      <c r="K15" s="375" t="s">
        <v>209</v>
      </c>
      <c r="L15" s="13" t="s">
        <v>26</v>
      </c>
      <c r="M15" s="13" t="s">
        <v>27</v>
      </c>
      <c r="N15" s="334" t="s">
        <v>28</v>
      </c>
      <c r="O15" s="334"/>
      <c r="P15" s="334"/>
      <c r="Q15" s="335" t="s">
        <v>27</v>
      </c>
      <c r="R15" s="335"/>
      <c r="S15" s="335"/>
      <c r="T15" s="331">
        <v>0.25</v>
      </c>
      <c r="U15" s="333" t="s">
        <v>30</v>
      </c>
      <c r="V15" s="334" t="s">
        <v>29</v>
      </c>
      <c r="W15" s="334"/>
      <c r="X15" s="334"/>
      <c r="Y15" s="334"/>
      <c r="Z15" s="334"/>
      <c r="AA15" s="334"/>
      <c r="AB15" s="344" t="s">
        <v>4</v>
      </c>
      <c r="AC15" s="344"/>
      <c r="AD15" s="345" t="s">
        <v>3</v>
      </c>
      <c r="AE15" s="345" t="s">
        <v>43</v>
      </c>
      <c r="AF15" s="344" t="s">
        <v>11</v>
      </c>
      <c r="AG15" s="344"/>
      <c r="AH15" s="344"/>
      <c r="AI15" s="344"/>
      <c r="AJ15" s="348" t="s">
        <v>6</v>
      </c>
      <c r="AK15" s="349"/>
      <c r="AL15" s="350"/>
      <c r="AM15" s="177"/>
      <c r="AN15" s="351" t="s">
        <v>12</v>
      </c>
      <c r="AO15" s="344" t="s">
        <v>16</v>
      </c>
      <c r="AP15" s="344"/>
      <c r="AQ15" s="366" t="s">
        <v>14</v>
      </c>
      <c r="AR15" s="337" t="s">
        <v>31</v>
      </c>
      <c r="AS15" s="339" t="s">
        <v>32</v>
      </c>
    </row>
    <row r="16" spans="2:45" x14ac:dyDescent="0.2">
      <c r="B16" s="69"/>
      <c r="C16" s="373"/>
      <c r="D16" s="364"/>
      <c r="E16" s="377"/>
      <c r="F16" s="364"/>
      <c r="G16" s="364"/>
      <c r="H16" s="364"/>
      <c r="I16" s="378"/>
      <c r="J16" s="364"/>
      <c r="K16" s="364"/>
      <c r="L16" s="341" t="s">
        <v>33</v>
      </c>
      <c r="M16" s="341" t="s">
        <v>33</v>
      </c>
      <c r="N16" s="322" t="s">
        <v>0</v>
      </c>
      <c r="O16" s="321" t="s">
        <v>1</v>
      </c>
      <c r="P16" s="343" t="s">
        <v>2</v>
      </c>
      <c r="Q16" s="336" t="s">
        <v>0</v>
      </c>
      <c r="R16" s="321" t="s">
        <v>1</v>
      </c>
      <c r="S16" s="321" t="s">
        <v>2</v>
      </c>
      <c r="T16" s="331"/>
      <c r="U16" s="333"/>
      <c r="V16" s="334" t="s">
        <v>34</v>
      </c>
      <c r="W16" s="334"/>
      <c r="X16" s="334"/>
      <c r="Y16" s="335" t="s">
        <v>35</v>
      </c>
      <c r="Z16" s="335"/>
      <c r="AA16" s="335"/>
      <c r="AB16" s="354" t="s">
        <v>17</v>
      </c>
      <c r="AC16" s="355"/>
      <c r="AD16" s="346"/>
      <c r="AE16" s="347"/>
      <c r="AF16" s="358" t="s">
        <v>10</v>
      </c>
      <c r="AG16" s="346" t="s">
        <v>9</v>
      </c>
      <c r="AH16" s="360" t="s">
        <v>8</v>
      </c>
      <c r="AI16" s="360" t="s">
        <v>7</v>
      </c>
      <c r="AJ16" s="364" t="s">
        <v>36</v>
      </c>
      <c r="AK16" s="364" t="s">
        <v>37</v>
      </c>
      <c r="AL16" s="364" t="s">
        <v>38</v>
      </c>
      <c r="AM16" s="151"/>
      <c r="AN16" s="352"/>
      <c r="AO16" s="358" t="s">
        <v>13</v>
      </c>
      <c r="AP16" s="358" t="s">
        <v>15</v>
      </c>
      <c r="AQ16" s="367"/>
      <c r="AR16" s="338"/>
      <c r="AS16" s="340"/>
    </row>
    <row r="17" spans="2:48" x14ac:dyDescent="0.2">
      <c r="B17" s="69"/>
      <c r="C17" s="373"/>
      <c r="D17" s="364"/>
      <c r="E17" s="377"/>
      <c r="F17" s="364"/>
      <c r="G17" s="364"/>
      <c r="H17" s="364"/>
      <c r="I17" s="378"/>
      <c r="J17" s="364"/>
      <c r="K17" s="364"/>
      <c r="L17" s="342"/>
      <c r="M17" s="342"/>
      <c r="N17" s="322"/>
      <c r="O17" s="321"/>
      <c r="P17" s="343"/>
      <c r="Q17" s="336"/>
      <c r="R17" s="321"/>
      <c r="S17" s="321"/>
      <c r="T17" s="331"/>
      <c r="U17" s="333"/>
      <c r="V17" s="334"/>
      <c r="W17" s="334"/>
      <c r="X17" s="334"/>
      <c r="Y17" s="335"/>
      <c r="Z17" s="335"/>
      <c r="AA17" s="335"/>
      <c r="AB17" s="356"/>
      <c r="AC17" s="357"/>
      <c r="AD17" s="346"/>
      <c r="AE17" s="347"/>
      <c r="AF17" s="359"/>
      <c r="AG17" s="346"/>
      <c r="AH17" s="361"/>
      <c r="AI17" s="361"/>
      <c r="AJ17" s="364"/>
      <c r="AK17" s="364"/>
      <c r="AL17" s="364"/>
      <c r="AM17" s="151"/>
      <c r="AN17" s="352"/>
      <c r="AO17" s="359"/>
      <c r="AP17" s="359"/>
      <c r="AQ17" s="367"/>
      <c r="AR17" s="338"/>
      <c r="AS17" s="340"/>
    </row>
    <row r="18" spans="2:48" x14ac:dyDescent="0.2">
      <c r="B18" s="69"/>
      <c r="C18" s="373"/>
      <c r="D18" s="364"/>
      <c r="E18" s="377"/>
      <c r="F18" s="364"/>
      <c r="G18" s="364"/>
      <c r="H18" s="364"/>
      <c r="I18" s="378"/>
      <c r="J18" s="364"/>
      <c r="K18" s="364"/>
      <c r="L18" s="342"/>
      <c r="M18" s="342"/>
      <c r="N18" s="322"/>
      <c r="O18" s="321"/>
      <c r="P18" s="343"/>
      <c r="Q18" s="336"/>
      <c r="R18" s="321"/>
      <c r="S18" s="321"/>
      <c r="T18" s="332"/>
      <c r="U18" s="333"/>
      <c r="V18" s="321" t="s">
        <v>0</v>
      </c>
      <c r="W18" s="321" t="s">
        <v>1</v>
      </c>
      <c r="X18" s="321" t="s">
        <v>2</v>
      </c>
      <c r="Y18" s="336" t="s">
        <v>0</v>
      </c>
      <c r="Z18" s="336" t="s">
        <v>1</v>
      </c>
      <c r="AA18" s="336" t="s">
        <v>2</v>
      </c>
      <c r="AB18" s="14"/>
      <c r="AC18" s="14"/>
      <c r="AD18" s="346"/>
      <c r="AE18" s="347"/>
      <c r="AF18" s="359"/>
      <c r="AG18" s="346"/>
      <c r="AH18" s="361"/>
      <c r="AI18" s="361"/>
      <c r="AJ18" s="364"/>
      <c r="AK18" s="364"/>
      <c r="AL18" s="364"/>
      <c r="AM18" s="151"/>
      <c r="AN18" s="352"/>
      <c r="AO18" s="359"/>
      <c r="AP18" s="359"/>
      <c r="AQ18" s="367"/>
      <c r="AR18" s="338"/>
      <c r="AS18" s="340"/>
    </row>
    <row r="19" spans="2:48" x14ac:dyDescent="0.2">
      <c r="B19" s="69"/>
      <c r="C19" s="373"/>
      <c r="D19" s="364"/>
      <c r="E19" s="377"/>
      <c r="F19" s="364"/>
      <c r="G19" s="364"/>
      <c r="H19" s="364"/>
      <c r="I19" s="378"/>
      <c r="J19" s="364"/>
      <c r="K19" s="364"/>
      <c r="L19" s="342"/>
      <c r="M19" s="342"/>
      <c r="N19" s="322"/>
      <c r="O19" s="321"/>
      <c r="P19" s="343"/>
      <c r="Q19" s="336"/>
      <c r="R19" s="321"/>
      <c r="S19" s="321"/>
      <c r="T19" s="332"/>
      <c r="U19" s="333"/>
      <c r="V19" s="321"/>
      <c r="W19" s="321"/>
      <c r="X19" s="321"/>
      <c r="Y19" s="336"/>
      <c r="Z19" s="336"/>
      <c r="AA19" s="336"/>
      <c r="AB19" s="362" t="s">
        <v>0</v>
      </c>
      <c r="AC19" s="362" t="s">
        <v>5</v>
      </c>
      <c r="AD19" s="346"/>
      <c r="AE19" s="347"/>
      <c r="AF19" s="359"/>
      <c r="AG19" s="346"/>
      <c r="AH19" s="361"/>
      <c r="AI19" s="361"/>
      <c r="AJ19" s="364"/>
      <c r="AK19" s="364"/>
      <c r="AL19" s="364"/>
      <c r="AM19" s="151"/>
      <c r="AN19" s="352"/>
      <c r="AO19" s="359"/>
      <c r="AP19" s="359"/>
      <c r="AQ19" s="367"/>
      <c r="AR19" s="338"/>
      <c r="AS19" s="340"/>
    </row>
    <row r="20" spans="2:48" x14ac:dyDescent="0.2">
      <c r="B20" s="69"/>
      <c r="C20" s="374"/>
      <c r="D20" s="364"/>
      <c r="E20" s="377"/>
      <c r="F20" s="364"/>
      <c r="G20" s="364"/>
      <c r="H20" s="364"/>
      <c r="I20" s="379"/>
      <c r="J20" s="364"/>
      <c r="K20" s="380"/>
      <c r="L20" s="342"/>
      <c r="M20" s="342"/>
      <c r="N20" s="322"/>
      <c r="O20" s="321"/>
      <c r="P20" s="343"/>
      <c r="Q20" s="336"/>
      <c r="R20" s="321"/>
      <c r="S20" s="321"/>
      <c r="T20" s="332"/>
      <c r="U20" s="333"/>
      <c r="V20" s="321"/>
      <c r="W20" s="321"/>
      <c r="X20" s="321"/>
      <c r="Y20" s="336"/>
      <c r="Z20" s="336"/>
      <c r="AA20" s="336"/>
      <c r="AB20" s="363"/>
      <c r="AC20" s="363"/>
      <c r="AD20" s="346"/>
      <c r="AE20" s="347"/>
      <c r="AF20" s="359"/>
      <c r="AG20" s="346"/>
      <c r="AH20" s="361"/>
      <c r="AI20" s="361"/>
      <c r="AJ20" s="364"/>
      <c r="AK20" s="364"/>
      <c r="AL20" s="364"/>
      <c r="AM20" s="151"/>
      <c r="AN20" s="353"/>
      <c r="AO20" s="365"/>
      <c r="AP20" s="365"/>
      <c r="AQ20" s="368"/>
      <c r="AR20" s="338"/>
      <c r="AS20" s="340"/>
    </row>
    <row r="21" spans="2:48" x14ac:dyDescent="0.2">
      <c r="B21" s="70"/>
      <c r="C21" s="60">
        <v>2</v>
      </c>
      <c r="D21" s="65">
        <v>3</v>
      </c>
      <c r="E21" s="60">
        <v>4</v>
      </c>
      <c r="F21" s="65">
        <v>5</v>
      </c>
      <c r="G21" s="60">
        <v>6</v>
      </c>
      <c r="H21" s="65">
        <v>7</v>
      </c>
      <c r="I21" s="60">
        <v>8</v>
      </c>
      <c r="J21" s="65">
        <v>9</v>
      </c>
      <c r="K21" s="70"/>
      <c r="L21" s="60">
        <v>10</v>
      </c>
      <c r="M21" s="65">
        <v>11</v>
      </c>
      <c r="N21" s="60">
        <v>12</v>
      </c>
      <c r="O21" s="65">
        <v>13</v>
      </c>
      <c r="P21" s="60">
        <v>14</v>
      </c>
      <c r="Q21" s="65">
        <v>15</v>
      </c>
      <c r="R21" s="60">
        <v>16</v>
      </c>
      <c r="S21" s="65">
        <v>17</v>
      </c>
      <c r="T21" s="60">
        <v>18</v>
      </c>
      <c r="U21" s="65">
        <v>19</v>
      </c>
      <c r="V21" s="60">
        <v>20</v>
      </c>
      <c r="W21" s="65">
        <v>21</v>
      </c>
      <c r="X21" s="60">
        <v>22</v>
      </c>
      <c r="Y21" s="65">
        <v>23</v>
      </c>
      <c r="Z21" s="60">
        <v>24</v>
      </c>
      <c r="AA21" s="65">
        <v>25</v>
      </c>
      <c r="AB21" s="60">
        <v>26</v>
      </c>
      <c r="AC21" s="65">
        <v>27</v>
      </c>
      <c r="AD21" s="60">
        <v>28</v>
      </c>
      <c r="AE21" s="65">
        <v>29</v>
      </c>
      <c r="AF21" s="60">
        <v>30</v>
      </c>
      <c r="AG21" s="65">
        <v>31</v>
      </c>
      <c r="AH21" s="60">
        <v>32</v>
      </c>
      <c r="AI21" s="65">
        <v>33</v>
      </c>
      <c r="AJ21" s="60">
        <v>34</v>
      </c>
      <c r="AK21" s="65">
        <v>35</v>
      </c>
      <c r="AL21" s="60">
        <v>36</v>
      </c>
      <c r="AM21" s="60"/>
      <c r="AN21" s="65">
        <v>37</v>
      </c>
      <c r="AO21" s="60">
        <v>38</v>
      </c>
      <c r="AP21" s="65">
        <v>39</v>
      </c>
      <c r="AQ21" s="60">
        <v>40</v>
      </c>
      <c r="AR21" s="65">
        <v>41</v>
      </c>
      <c r="AS21" s="60">
        <v>42</v>
      </c>
    </row>
    <row r="22" spans="2:48" x14ac:dyDescent="0.2">
      <c r="B22" s="1">
        <v>1</v>
      </c>
      <c r="C22" s="4" t="s">
        <v>105</v>
      </c>
      <c r="D22" s="1" t="s">
        <v>57</v>
      </c>
      <c r="E22" s="1" t="s">
        <v>42</v>
      </c>
      <c r="F22" s="1" t="s">
        <v>93</v>
      </c>
      <c r="G22" s="1">
        <v>35.07</v>
      </c>
      <c r="H22" s="1">
        <v>4.29</v>
      </c>
      <c r="I22" s="1">
        <v>17697</v>
      </c>
      <c r="J22" s="1">
        <f>H22*I22</f>
        <v>75920.13</v>
      </c>
      <c r="K22" s="1">
        <f>J22*1.5</f>
        <v>113880.19500000001</v>
      </c>
      <c r="L22" s="1"/>
      <c r="M22" s="2">
        <f>J22/24*L22</f>
        <v>0</v>
      </c>
      <c r="N22" s="4">
        <v>16</v>
      </c>
      <c r="O22" s="1"/>
      <c r="P22" s="39"/>
      <c r="Q22" s="2">
        <f>K22/18*N22</f>
        <v>101226.84000000001</v>
      </c>
      <c r="R22" s="2">
        <f>K22/18*O22</f>
        <v>0</v>
      </c>
      <c r="S22" s="1">
        <f>K22/18*P22</f>
        <v>0</v>
      </c>
      <c r="T22" s="2">
        <f>(M22+Q22+R22+S22)*25%</f>
        <v>25306.710000000003</v>
      </c>
      <c r="U22" s="2">
        <f>(M22+Q22+R22+S22+T22)*10%</f>
        <v>12653.355000000003</v>
      </c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2">
        <f>AV22</f>
        <v>37960.065000000002</v>
      </c>
      <c r="AO22" s="1"/>
      <c r="AP22" s="1"/>
      <c r="AQ22" s="1">
        <f>AF22+AG22+AH22+AI22+AN22</f>
        <v>37960.065000000002</v>
      </c>
      <c r="AR22" s="2">
        <f>AN22+AL22+AK22+AJ22+AI22+AH22+AG22+AE22+AD22+AC22+AB22+AA22+Z22+Y22+U22+T22+S22+R22+Q22+M22+AO22+AP22</f>
        <v>177146.97000000003</v>
      </c>
      <c r="AS22" s="2">
        <f>AR22-AQ22</f>
        <v>139186.90500000003</v>
      </c>
      <c r="AT22" s="1">
        <f>K22*25%</f>
        <v>28470.048750000002</v>
      </c>
      <c r="AU22" s="1">
        <f>AT22+K22</f>
        <v>142350.24375000002</v>
      </c>
      <c r="AV22" s="1">
        <f>AU22/18*16*30%</f>
        <v>37960.065000000002</v>
      </c>
    </row>
    <row r="23" spans="2:48" x14ac:dyDescent="0.2">
      <c r="B23" s="1">
        <v>2</v>
      </c>
      <c r="C23" s="4" t="s">
        <v>106</v>
      </c>
      <c r="D23" s="1" t="s">
        <v>57</v>
      </c>
      <c r="E23" s="1" t="s">
        <v>39</v>
      </c>
      <c r="F23" s="1" t="s">
        <v>84</v>
      </c>
      <c r="G23" s="1">
        <v>3</v>
      </c>
      <c r="H23" s="1">
        <v>3.45</v>
      </c>
      <c r="I23" s="1">
        <v>17697</v>
      </c>
      <c r="J23" s="1">
        <f>H23*I23</f>
        <v>61054.65</v>
      </c>
      <c r="K23" s="1">
        <f>J23*1.5</f>
        <v>91581.975000000006</v>
      </c>
      <c r="L23" s="1"/>
      <c r="M23" s="2">
        <f>J23/24*L23</f>
        <v>0</v>
      </c>
      <c r="N23" s="4">
        <v>3</v>
      </c>
      <c r="O23" s="1">
        <v>0</v>
      </c>
      <c r="P23" s="39"/>
      <c r="Q23" s="2">
        <f>K23/18*N23</f>
        <v>15263.662500000002</v>
      </c>
      <c r="R23" s="2">
        <f>K23/18*O23</f>
        <v>0</v>
      </c>
      <c r="S23" s="1">
        <f>K23/18*P23</f>
        <v>0</v>
      </c>
      <c r="T23" s="2">
        <f>(M23+Q23+R23+S23)*25%</f>
        <v>3815.9156250000005</v>
      </c>
      <c r="U23" s="2">
        <f>(M23+Q23+R23+S23+T23)*10%</f>
        <v>1907.9578125000005</v>
      </c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2">
        <f>AV23</f>
        <v>5723.8734374999995</v>
      </c>
      <c r="AO23" s="1"/>
      <c r="AP23" s="1"/>
      <c r="AQ23" s="1">
        <f>AF23+AG23+AH23+AI23+AN23</f>
        <v>5723.8734374999995</v>
      </c>
      <c r="AR23" s="2">
        <f>AN23+AL23+AK23+AJ23+AI23+AH23+AG23+AE23+AD23+AC23+AB23+AA23+Z23+Y23+U23+T23+S23+R23+Q23+M23+AO23+AP23</f>
        <v>26711.409375000003</v>
      </c>
      <c r="AS23" s="2">
        <f>AR23-AQ23</f>
        <v>20987.535937500004</v>
      </c>
      <c r="AT23" s="1">
        <f>K23*25%</f>
        <v>22895.493750000001</v>
      </c>
      <c r="AU23" s="1">
        <f>AT23+K23</f>
        <v>114477.46875</v>
      </c>
      <c r="AV23" s="1">
        <f>AU23/18*3*30%</f>
        <v>5723.8734374999995</v>
      </c>
    </row>
    <row r="24" spans="2:48" x14ac:dyDescent="0.2">
      <c r="B24" s="1"/>
      <c r="C24" s="4"/>
      <c r="D24" s="1"/>
      <c r="E24" s="1"/>
      <c r="F24" s="1"/>
      <c r="G24" s="1"/>
      <c r="H24" s="1"/>
      <c r="I24" s="1"/>
      <c r="J24" s="1"/>
      <c r="K24" s="1">
        <f>J24*1.25</f>
        <v>0</v>
      </c>
      <c r="L24" s="6">
        <f t="shared" ref="L24:AS24" si="0">SUM(L22:L23)</f>
        <v>0</v>
      </c>
      <c r="M24" s="6">
        <f t="shared" si="0"/>
        <v>0</v>
      </c>
      <c r="N24" s="6">
        <f t="shared" si="0"/>
        <v>19</v>
      </c>
      <c r="O24" s="6">
        <f t="shared" si="0"/>
        <v>0</v>
      </c>
      <c r="P24" s="6">
        <f t="shared" si="0"/>
        <v>0</v>
      </c>
      <c r="Q24" s="6">
        <f t="shared" si="0"/>
        <v>116490.50250000002</v>
      </c>
      <c r="R24" s="6">
        <f t="shared" si="0"/>
        <v>0</v>
      </c>
      <c r="S24" s="6">
        <f t="shared" si="0"/>
        <v>0</v>
      </c>
      <c r="T24" s="6">
        <f t="shared" si="0"/>
        <v>29122.625625000004</v>
      </c>
      <c r="U24" s="6">
        <f t="shared" si="0"/>
        <v>14561.312812500004</v>
      </c>
      <c r="V24" s="6">
        <f t="shared" si="0"/>
        <v>0</v>
      </c>
      <c r="W24" s="6">
        <f t="shared" si="0"/>
        <v>0</v>
      </c>
      <c r="X24" s="6">
        <f t="shared" si="0"/>
        <v>0</v>
      </c>
      <c r="Y24" s="6">
        <f t="shared" si="0"/>
        <v>0</v>
      </c>
      <c r="Z24" s="6">
        <f t="shared" si="0"/>
        <v>0</v>
      </c>
      <c r="AA24" s="6">
        <f t="shared" si="0"/>
        <v>0</v>
      </c>
      <c r="AB24" s="6">
        <f t="shared" si="0"/>
        <v>0</v>
      </c>
      <c r="AC24" s="6">
        <f t="shared" si="0"/>
        <v>0</v>
      </c>
      <c r="AD24" s="6">
        <f t="shared" si="0"/>
        <v>0</v>
      </c>
      <c r="AE24" s="6">
        <f t="shared" si="0"/>
        <v>0</v>
      </c>
      <c r="AF24" s="6">
        <f t="shared" si="0"/>
        <v>0</v>
      </c>
      <c r="AG24" s="6">
        <f t="shared" si="0"/>
        <v>0</v>
      </c>
      <c r="AH24" s="6">
        <f t="shared" si="0"/>
        <v>0</v>
      </c>
      <c r="AI24" s="6">
        <f t="shared" si="0"/>
        <v>0</v>
      </c>
      <c r="AJ24" s="6">
        <f t="shared" si="0"/>
        <v>0</v>
      </c>
      <c r="AK24" s="6">
        <f t="shared" si="0"/>
        <v>0</v>
      </c>
      <c r="AL24" s="6">
        <f t="shared" si="0"/>
        <v>0</v>
      </c>
      <c r="AM24" s="6"/>
      <c r="AN24" s="6">
        <f t="shared" si="0"/>
        <v>43683.938437500001</v>
      </c>
      <c r="AO24" s="6">
        <f t="shared" si="0"/>
        <v>0</v>
      </c>
      <c r="AP24" s="6">
        <f t="shared" si="0"/>
        <v>0</v>
      </c>
      <c r="AQ24" s="6">
        <f t="shared" si="0"/>
        <v>43683.938437500001</v>
      </c>
      <c r="AR24" s="6">
        <f t="shared" si="0"/>
        <v>203858.37937500002</v>
      </c>
      <c r="AS24" s="6">
        <f t="shared" si="0"/>
        <v>160174.44093750004</v>
      </c>
      <c r="AT24" s="1">
        <f>K24*25%</f>
        <v>0</v>
      </c>
      <c r="AU24" s="1">
        <f>AT24+K24</f>
        <v>0</v>
      </c>
      <c r="AV24" s="1">
        <f>AU24/18*10*30%</f>
        <v>0</v>
      </c>
    </row>
    <row r="25" spans="2:48" x14ac:dyDescent="0.2">
      <c r="C25" s="33"/>
      <c r="AR25" s="49"/>
      <c r="AS25" s="49"/>
    </row>
    <row r="26" spans="2:48" x14ac:dyDescent="0.2">
      <c r="C26" s="33"/>
    </row>
    <row r="28" spans="2:48" x14ac:dyDescent="0.2">
      <c r="C28" s="9" t="s">
        <v>90</v>
      </c>
      <c r="D28" s="9"/>
      <c r="E28" s="9"/>
      <c r="K28" s="9"/>
      <c r="O28" s="9" t="s">
        <v>86</v>
      </c>
    </row>
    <row r="29" spans="2:48" x14ac:dyDescent="0.2">
      <c r="C29" s="61" t="s">
        <v>162</v>
      </c>
      <c r="D29" s="61"/>
      <c r="E29" s="9"/>
      <c r="K29" s="61"/>
      <c r="O29" s="9" t="s">
        <v>89</v>
      </c>
    </row>
  </sheetData>
  <mergeCells count="53">
    <mergeCell ref="AQ15:AQ20"/>
    <mergeCell ref="O10:Q10"/>
    <mergeCell ref="C15:C20"/>
    <mergeCell ref="D15:D20"/>
    <mergeCell ref="E15:E20"/>
    <mergeCell ref="F15:F20"/>
    <mergeCell ref="G15:G20"/>
    <mergeCell ref="H15:H20"/>
    <mergeCell ref="I15:I20"/>
    <mergeCell ref="J15:J20"/>
    <mergeCell ref="N15:P15"/>
    <mergeCell ref="K15:K20"/>
    <mergeCell ref="Q15:S15"/>
    <mergeCell ref="R16:R20"/>
    <mergeCell ref="S16:S20"/>
    <mergeCell ref="AG16:AG20"/>
    <mergeCell ref="AH16:AH20"/>
    <mergeCell ref="AB19:AB20"/>
    <mergeCell ref="AC19:AC20"/>
    <mergeCell ref="AO15:AP15"/>
    <mergeCell ref="AL16:AL20"/>
    <mergeCell ref="AO16:AO20"/>
    <mergeCell ref="AP16:AP20"/>
    <mergeCell ref="AI16:AI20"/>
    <mergeCell ref="AJ16:AJ20"/>
    <mergeCell ref="AK16:AK20"/>
    <mergeCell ref="AR15:AR20"/>
    <mergeCell ref="AS15:AS20"/>
    <mergeCell ref="L16:L20"/>
    <mergeCell ref="M16:M20"/>
    <mergeCell ref="N16:N20"/>
    <mergeCell ref="O16:O20"/>
    <mergeCell ref="P16:P20"/>
    <mergeCell ref="Q16:Q20"/>
    <mergeCell ref="AB15:AC15"/>
    <mergeCell ref="AD15:AD20"/>
    <mergeCell ref="AE15:AE20"/>
    <mergeCell ref="AF15:AI15"/>
    <mergeCell ref="AJ15:AL15"/>
    <mergeCell ref="AN15:AN20"/>
    <mergeCell ref="AB16:AC17"/>
    <mergeCell ref="AF16:AF20"/>
    <mergeCell ref="T15:T20"/>
    <mergeCell ref="U15:U20"/>
    <mergeCell ref="V15:AA15"/>
    <mergeCell ref="V16:X17"/>
    <mergeCell ref="Y16:AA17"/>
    <mergeCell ref="AA18:AA20"/>
    <mergeCell ref="V18:V20"/>
    <mergeCell ref="W18:W20"/>
    <mergeCell ref="X18:X20"/>
    <mergeCell ref="Y18:Y20"/>
    <mergeCell ref="Z18:Z20"/>
  </mergeCells>
  <pageMargins left="0.19685039370078741" right="0.19685039370078741" top="0.19685039370078741" bottom="0.19685039370078741" header="0.31496062992125984" footer="0.31496062992125984"/>
  <pageSetup paperSize="9" scale="70" orientation="landscape" r:id="rId1"/>
  <colBreaks count="1" manualBreakCount="1">
    <brk id="45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U57"/>
  <sheetViews>
    <sheetView view="pageBreakPreview" topLeftCell="A31" zoomScale="95" zoomScaleSheetLayoutView="95" workbookViewId="0">
      <selection activeCell="P54" sqref="P54"/>
    </sheetView>
  </sheetViews>
  <sheetFormatPr defaultRowHeight="12.75" x14ac:dyDescent="0.2"/>
  <cols>
    <col min="1" max="1" width="4.5703125" customWidth="1"/>
    <col min="2" max="2" width="18.42578125" customWidth="1"/>
    <col min="4" max="4" width="9.42578125" customWidth="1"/>
    <col min="5" max="5" width="6.5703125" customWidth="1"/>
    <col min="6" max="6" width="6.85546875" customWidth="1"/>
    <col min="7" max="7" width="6.140625" customWidth="1"/>
    <col min="8" max="8" width="7.42578125" customWidth="1"/>
    <col min="9" max="9" width="6.85546875" customWidth="1"/>
    <col min="10" max="10" width="7.85546875" customWidth="1"/>
    <col min="11" max="11" width="7.42578125" customWidth="1"/>
    <col min="12" max="12" width="8.7109375" customWidth="1"/>
    <col min="13" max="13" width="6.5703125" style="33" customWidth="1"/>
    <col min="14" max="14" width="5.5703125" customWidth="1"/>
    <col min="15" max="15" width="4" style="37" customWidth="1"/>
    <col min="16" max="16" width="8.5703125" customWidth="1"/>
    <col min="17" max="17" width="7.85546875" customWidth="1"/>
    <col min="18" max="18" width="8.5703125" customWidth="1"/>
    <col min="19" max="19" width="8.42578125" customWidth="1"/>
    <col min="20" max="20" width="7.7109375" customWidth="1"/>
    <col min="21" max="22" width="5.7109375" customWidth="1"/>
    <col min="23" max="23" width="6.5703125" customWidth="1"/>
    <col min="24" max="24" width="7.140625" customWidth="1"/>
    <col min="25" max="25" width="6.5703125" customWidth="1"/>
    <col min="26" max="26" width="8" customWidth="1"/>
    <col min="27" max="27" width="8.42578125" customWidth="1"/>
    <col min="28" max="28" width="8.140625" customWidth="1"/>
    <col min="29" max="29" width="8.42578125" customWidth="1"/>
    <col min="30" max="30" width="6.85546875" customWidth="1"/>
    <col min="31" max="31" width="6.42578125" customWidth="1"/>
    <col min="32" max="32" width="7.5703125" customWidth="1"/>
    <col min="33" max="33" width="7.42578125" customWidth="1"/>
    <col min="34" max="34" width="7.28515625" customWidth="1"/>
    <col min="35" max="35" width="7.5703125" customWidth="1"/>
    <col min="36" max="36" width="6.42578125" customWidth="1"/>
    <col min="37" max="38" width="9" customWidth="1"/>
  </cols>
  <sheetData>
    <row r="1" spans="1:44" x14ac:dyDescent="0.2">
      <c r="B1" s="9"/>
      <c r="N1" s="20" t="s">
        <v>193</v>
      </c>
      <c r="O1" s="21"/>
      <c r="P1" s="21"/>
      <c r="Q1" s="22" t="s">
        <v>44</v>
      </c>
      <c r="R1" s="23" t="s">
        <v>45</v>
      </c>
      <c r="S1" s="23" t="s">
        <v>46</v>
      </c>
      <c r="T1" s="23" t="s">
        <v>47</v>
      </c>
    </row>
    <row r="2" spans="1:44" x14ac:dyDescent="0.2">
      <c r="B2" s="9" t="s">
        <v>87</v>
      </c>
      <c r="C2" s="9"/>
      <c r="D2" s="9"/>
      <c r="E2" s="9"/>
      <c r="F2" s="9"/>
      <c r="G2" s="9"/>
      <c r="N2" s="20" t="s">
        <v>48</v>
      </c>
      <c r="O2" s="24"/>
      <c r="P2" s="24"/>
      <c r="Q2" s="25">
        <v>4</v>
      </c>
      <c r="R2" s="25">
        <v>5</v>
      </c>
      <c r="S2" s="25">
        <v>2</v>
      </c>
      <c r="T2" s="25">
        <f>Q2+R2+S2</f>
        <v>11</v>
      </c>
    </row>
    <row r="3" spans="1:44" x14ac:dyDescent="0.2">
      <c r="B3" s="9" t="s">
        <v>88</v>
      </c>
      <c r="C3" s="9"/>
      <c r="D3" s="9"/>
      <c r="E3" s="9"/>
      <c r="F3" s="9"/>
      <c r="G3" s="9"/>
      <c r="N3" s="26" t="s">
        <v>49</v>
      </c>
      <c r="O3" s="27"/>
      <c r="P3" s="27"/>
      <c r="Q3" s="25">
        <v>4</v>
      </c>
      <c r="R3" s="25">
        <v>5</v>
      </c>
      <c r="S3" s="25">
        <v>2</v>
      </c>
      <c r="T3" s="25">
        <f t="shared" ref="T3:T9" si="0">Q3+R3+S3</f>
        <v>11</v>
      </c>
    </row>
    <row r="4" spans="1:44" x14ac:dyDescent="0.2">
      <c r="N4" s="45" t="s">
        <v>59</v>
      </c>
      <c r="O4" s="46"/>
      <c r="P4" s="44"/>
      <c r="Q4" s="44">
        <v>53</v>
      </c>
      <c r="R4" s="1">
        <v>72</v>
      </c>
      <c r="S4" s="1">
        <v>16</v>
      </c>
      <c r="T4" s="25">
        <f t="shared" si="0"/>
        <v>141</v>
      </c>
      <c r="AR4" s="20"/>
    </row>
    <row r="5" spans="1:44" x14ac:dyDescent="0.2">
      <c r="M5" s="150"/>
      <c r="N5" s="77" t="s">
        <v>50</v>
      </c>
      <c r="O5" s="78"/>
      <c r="P5" s="78"/>
      <c r="Q5" s="79">
        <v>97</v>
      </c>
      <c r="R5" s="79">
        <v>157</v>
      </c>
      <c r="S5" s="79">
        <v>66</v>
      </c>
      <c r="T5" s="25">
        <f t="shared" si="0"/>
        <v>320</v>
      </c>
      <c r="U5" s="80"/>
      <c r="V5" s="80"/>
      <c r="AD5" s="80"/>
      <c r="AE5" s="80"/>
      <c r="AF5" s="80"/>
      <c r="AG5" s="80"/>
      <c r="AH5" s="80"/>
      <c r="AI5" s="80"/>
      <c r="AJ5" s="80"/>
      <c r="AK5" s="80"/>
      <c r="AL5" s="80"/>
      <c r="AM5" s="80"/>
    </row>
    <row r="6" spans="1:44" x14ac:dyDescent="0.2">
      <c r="N6" s="20" t="s">
        <v>51</v>
      </c>
      <c r="O6" s="24"/>
      <c r="P6" s="24"/>
      <c r="Q6" s="41">
        <v>107</v>
      </c>
      <c r="R6" s="41">
        <v>190</v>
      </c>
      <c r="S6" s="41">
        <v>78</v>
      </c>
      <c r="T6" s="25">
        <f t="shared" si="0"/>
        <v>375</v>
      </c>
    </row>
    <row r="7" spans="1:44" x14ac:dyDescent="0.2">
      <c r="N7" s="26" t="s">
        <v>52</v>
      </c>
      <c r="O7" s="27"/>
      <c r="P7" s="27"/>
      <c r="Q7" s="42">
        <v>10</v>
      </c>
      <c r="R7" s="42">
        <v>16</v>
      </c>
      <c r="S7" s="42">
        <v>12</v>
      </c>
      <c r="T7" s="25">
        <f t="shared" si="0"/>
        <v>38</v>
      </c>
      <c r="AD7" s="40"/>
    </row>
    <row r="8" spans="1:44" x14ac:dyDescent="0.2">
      <c r="E8" s="9" t="s">
        <v>192</v>
      </c>
      <c r="F8" s="9"/>
      <c r="G8" s="9"/>
      <c r="H8" s="9"/>
      <c r="I8" s="9"/>
      <c r="J8" s="9"/>
      <c r="M8" s="36"/>
      <c r="N8" s="20" t="s">
        <v>53</v>
      </c>
      <c r="O8" s="28"/>
      <c r="P8" s="29"/>
      <c r="Q8" s="43">
        <v>0</v>
      </c>
      <c r="R8" s="23">
        <v>17</v>
      </c>
      <c r="S8" s="23">
        <v>0</v>
      </c>
      <c r="T8" s="25">
        <f t="shared" si="0"/>
        <v>17</v>
      </c>
    </row>
    <row r="9" spans="1:44" x14ac:dyDescent="0.2">
      <c r="I9" s="9" t="s">
        <v>85</v>
      </c>
      <c r="J9" s="9"/>
      <c r="K9" s="9"/>
      <c r="L9" s="9"/>
      <c r="N9" s="1"/>
      <c r="O9" s="1" t="s">
        <v>54</v>
      </c>
      <c r="P9" s="1"/>
      <c r="Q9" s="23">
        <v>27</v>
      </c>
      <c r="R9" s="5"/>
      <c r="S9" s="5"/>
      <c r="T9" s="25">
        <f t="shared" si="0"/>
        <v>27</v>
      </c>
    </row>
    <row r="10" spans="1:44" ht="13.5" thickBot="1" x14ac:dyDescent="0.25">
      <c r="B10" t="s">
        <v>163</v>
      </c>
    </row>
    <row r="11" spans="1:44" ht="39.6" customHeight="1" x14ac:dyDescent="0.2">
      <c r="A11" s="381" t="s">
        <v>18</v>
      </c>
      <c r="B11" s="372" t="s">
        <v>19</v>
      </c>
      <c r="C11" s="375" t="s">
        <v>20</v>
      </c>
      <c r="D11" s="376" t="s">
        <v>21</v>
      </c>
      <c r="E11" s="375" t="s">
        <v>22</v>
      </c>
      <c r="F11" s="375" t="s">
        <v>23</v>
      </c>
      <c r="G11" s="375" t="s">
        <v>24</v>
      </c>
      <c r="H11" s="375" t="s">
        <v>55</v>
      </c>
      <c r="I11" s="375" t="s">
        <v>25</v>
      </c>
      <c r="J11" s="152"/>
      <c r="K11" s="13" t="s">
        <v>26</v>
      </c>
      <c r="L11" s="13" t="s">
        <v>27</v>
      </c>
      <c r="M11" s="383" t="s">
        <v>28</v>
      </c>
      <c r="N11" s="384"/>
      <c r="O11" s="385"/>
      <c r="P11" s="386" t="s">
        <v>27</v>
      </c>
      <c r="Q11" s="387"/>
      <c r="R11" s="387"/>
      <c r="S11" s="388">
        <v>0.25</v>
      </c>
      <c r="T11" s="394" t="s">
        <v>30</v>
      </c>
      <c r="U11" s="383" t="s">
        <v>29</v>
      </c>
      <c r="V11" s="384"/>
      <c r="W11" s="384"/>
      <c r="X11" s="384"/>
      <c r="Y11" s="384"/>
      <c r="Z11" s="385"/>
      <c r="AA11" s="344" t="s">
        <v>4</v>
      </c>
      <c r="AB11" s="344"/>
      <c r="AC11" s="345" t="s">
        <v>3</v>
      </c>
      <c r="AD11" s="345" t="s">
        <v>43</v>
      </c>
      <c r="AE11" s="344" t="s">
        <v>11</v>
      </c>
      <c r="AF11" s="344"/>
      <c r="AG11" s="344"/>
      <c r="AH11" s="344"/>
      <c r="AI11" s="348" t="s">
        <v>6</v>
      </c>
      <c r="AJ11" s="349"/>
      <c r="AK11" s="350"/>
      <c r="AL11" s="177"/>
      <c r="AM11" s="351" t="s">
        <v>12</v>
      </c>
      <c r="AN11" s="344" t="s">
        <v>16</v>
      </c>
      <c r="AO11" s="344"/>
      <c r="AP11" s="366" t="s">
        <v>14</v>
      </c>
      <c r="AQ11" s="337" t="s">
        <v>31</v>
      </c>
      <c r="AR11" s="339" t="s">
        <v>32</v>
      </c>
    </row>
    <row r="12" spans="1:44" ht="13.15" customHeight="1" x14ac:dyDescent="0.2">
      <c r="A12" s="382"/>
      <c r="B12" s="373"/>
      <c r="C12" s="364"/>
      <c r="D12" s="377"/>
      <c r="E12" s="364"/>
      <c r="F12" s="364"/>
      <c r="G12" s="364"/>
      <c r="H12" s="378"/>
      <c r="I12" s="364"/>
      <c r="J12" s="151"/>
      <c r="K12" s="341" t="s">
        <v>33</v>
      </c>
      <c r="L12" s="341" t="s">
        <v>33</v>
      </c>
      <c r="M12" s="392" t="s">
        <v>0</v>
      </c>
      <c r="N12" s="341" t="s">
        <v>1</v>
      </c>
      <c r="O12" s="397" t="s">
        <v>2</v>
      </c>
      <c r="P12" s="360" t="s">
        <v>0</v>
      </c>
      <c r="Q12" s="341" t="s">
        <v>1</v>
      </c>
      <c r="R12" s="399" t="s">
        <v>2</v>
      </c>
      <c r="S12" s="389"/>
      <c r="T12" s="395"/>
      <c r="U12" s="401" t="s">
        <v>34</v>
      </c>
      <c r="V12" s="402"/>
      <c r="W12" s="403"/>
      <c r="X12" s="407" t="s">
        <v>35</v>
      </c>
      <c r="Y12" s="408"/>
      <c r="Z12" s="409"/>
      <c r="AA12" s="354" t="s">
        <v>17</v>
      </c>
      <c r="AB12" s="355"/>
      <c r="AC12" s="346"/>
      <c r="AD12" s="347"/>
      <c r="AE12" s="358" t="s">
        <v>10</v>
      </c>
      <c r="AF12" s="346" t="s">
        <v>9</v>
      </c>
      <c r="AG12" s="360" t="s">
        <v>8</v>
      </c>
      <c r="AH12" s="360" t="s">
        <v>7</v>
      </c>
      <c r="AI12" s="364" t="s">
        <v>36</v>
      </c>
      <c r="AJ12" s="364" t="s">
        <v>37</v>
      </c>
      <c r="AK12" s="364" t="s">
        <v>38</v>
      </c>
      <c r="AL12" s="151"/>
      <c r="AM12" s="352"/>
      <c r="AN12" s="358" t="s">
        <v>13</v>
      </c>
      <c r="AO12" s="358" t="s">
        <v>15</v>
      </c>
      <c r="AP12" s="367"/>
      <c r="AQ12" s="338"/>
      <c r="AR12" s="340"/>
    </row>
    <row r="13" spans="1:44" x14ac:dyDescent="0.2">
      <c r="A13" s="382"/>
      <c r="B13" s="373"/>
      <c r="C13" s="364"/>
      <c r="D13" s="377"/>
      <c r="E13" s="364"/>
      <c r="F13" s="364"/>
      <c r="G13" s="364"/>
      <c r="H13" s="378"/>
      <c r="I13" s="364"/>
      <c r="J13" s="151"/>
      <c r="K13" s="342"/>
      <c r="L13" s="342"/>
      <c r="M13" s="393"/>
      <c r="N13" s="342"/>
      <c r="O13" s="398"/>
      <c r="P13" s="361"/>
      <c r="Q13" s="342"/>
      <c r="R13" s="400"/>
      <c r="S13" s="389"/>
      <c r="T13" s="395"/>
      <c r="U13" s="404"/>
      <c r="V13" s="405"/>
      <c r="W13" s="406"/>
      <c r="X13" s="410"/>
      <c r="Y13" s="411"/>
      <c r="Z13" s="412"/>
      <c r="AA13" s="356"/>
      <c r="AB13" s="357"/>
      <c r="AC13" s="346"/>
      <c r="AD13" s="347"/>
      <c r="AE13" s="359"/>
      <c r="AF13" s="346"/>
      <c r="AG13" s="361"/>
      <c r="AH13" s="361"/>
      <c r="AI13" s="364"/>
      <c r="AJ13" s="364"/>
      <c r="AK13" s="364"/>
      <c r="AL13" s="151"/>
      <c r="AM13" s="352"/>
      <c r="AN13" s="359"/>
      <c r="AO13" s="359"/>
      <c r="AP13" s="367"/>
      <c r="AQ13" s="338"/>
      <c r="AR13" s="340"/>
    </row>
    <row r="14" spans="1:44" x14ac:dyDescent="0.2">
      <c r="A14" s="382"/>
      <c r="B14" s="373"/>
      <c r="C14" s="364"/>
      <c r="D14" s="377"/>
      <c r="E14" s="364"/>
      <c r="F14" s="364"/>
      <c r="G14" s="364"/>
      <c r="H14" s="378"/>
      <c r="I14" s="364"/>
      <c r="J14" s="151"/>
      <c r="K14" s="342"/>
      <c r="L14" s="342"/>
      <c r="M14" s="393"/>
      <c r="N14" s="342"/>
      <c r="O14" s="398"/>
      <c r="P14" s="361"/>
      <c r="Q14" s="342"/>
      <c r="R14" s="400"/>
      <c r="S14" s="390"/>
      <c r="T14" s="395"/>
      <c r="U14" s="341" t="s">
        <v>0</v>
      </c>
      <c r="V14" s="341" t="s">
        <v>1</v>
      </c>
      <c r="W14" s="341" t="s">
        <v>2</v>
      </c>
      <c r="X14" s="360" t="s">
        <v>0</v>
      </c>
      <c r="Y14" s="360" t="s">
        <v>1</v>
      </c>
      <c r="Z14" s="360" t="s">
        <v>2</v>
      </c>
      <c r="AA14" s="14"/>
      <c r="AB14" s="14"/>
      <c r="AC14" s="346"/>
      <c r="AD14" s="347"/>
      <c r="AE14" s="359"/>
      <c r="AF14" s="346"/>
      <c r="AG14" s="361"/>
      <c r="AH14" s="361"/>
      <c r="AI14" s="364"/>
      <c r="AJ14" s="364"/>
      <c r="AK14" s="364"/>
      <c r="AL14" s="151"/>
      <c r="AM14" s="352"/>
      <c r="AN14" s="359"/>
      <c r="AO14" s="359"/>
      <c r="AP14" s="367"/>
      <c r="AQ14" s="338"/>
      <c r="AR14" s="340"/>
    </row>
    <row r="15" spans="1:44" x14ac:dyDescent="0.2">
      <c r="A15" s="382"/>
      <c r="B15" s="373"/>
      <c r="C15" s="364"/>
      <c r="D15" s="377"/>
      <c r="E15" s="364"/>
      <c r="F15" s="364"/>
      <c r="G15" s="364"/>
      <c r="H15" s="378"/>
      <c r="I15" s="364"/>
      <c r="J15" s="151"/>
      <c r="K15" s="342"/>
      <c r="L15" s="342"/>
      <c r="M15" s="393"/>
      <c r="N15" s="342"/>
      <c r="O15" s="398"/>
      <c r="P15" s="361"/>
      <c r="Q15" s="342"/>
      <c r="R15" s="400"/>
      <c r="S15" s="390"/>
      <c r="T15" s="395"/>
      <c r="U15" s="342"/>
      <c r="V15" s="342"/>
      <c r="W15" s="342"/>
      <c r="X15" s="361"/>
      <c r="Y15" s="361"/>
      <c r="Z15" s="361"/>
      <c r="AA15" s="362" t="s">
        <v>0</v>
      </c>
      <c r="AB15" s="362" t="s">
        <v>5</v>
      </c>
      <c r="AC15" s="346"/>
      <c r="AD15" s="347"/>
      <c r="AE15" s="359"/>
      <c r="AF15" s="346"/>
      <c r="AG15" s="361"/>
      <c r="AH15" s="361"/>
      <c r="AI15" s="364"/>
      <c r="AJ15" s="364"/>
      <c r="AK15" s="364"/>
      <c r="AL15" s="151"/>
      <c r="AM15" s="352"/>
      <c r="AN15" s="359"/>
      <c r="AO15" s="359"/>
      <c r="AP15" s="367"/>
      <c r="AQ15" s="338"/>
      <c r="AR15" s="340"/>
    </row>
    <row r="16" spans="1:44" ht="13.5" thickBot="1" x14ac:dyDescent="0.25">
      <c r="A16" s="382"/>
      <c r="B16" s="374"/>
      <c r="C16" s="364"/>
      <c r="D16" s="377"/>
      <c r="E16" s="364"/>
      <c r="F16" s="364"/>
      <c r="G16" s="364"/>
      <c r="H16" s="379"/>
      <c r="I16" s="364"/>
      <c r="J16" s="151"/>
      <c r="K16" s="342"/>
      <c r="L16" s="342"/>
      <c r="M16" s="393"/>
      <c r="N16" s="342"/>
      <c r="O16" s="398"/>
      <c r="P16" s="361"/>
      <c r="Q16" s="342"/>
      <c r="R16" s="400"/>
      <c r="S16" s="391"/>
      <c r="T16" s="395"/>
      <c r="U16" s="342"/>
      <c r="V16" s="342"/>
      <c r="W16" s="342"/>
      <c r="X16" s="361"/>
      <c r="Y16" s="361"/>
      <c r="Z16" s="361"/>
      <c r="AA16" s="363"/>
      <c r="AB16" s="363"/>
      <c r="AC16" s="346"/>
      <c r="AD16" s="396"/>
      <c r="AE16" s="359"/>
      <c r="AF16" s="346"/>
      <c r="AG16" s="361"/>
      <c r="AH16" s="361"/>
      <c r="AI16" s="364"/>
      <c r="AJ16" s="364"/>
      <c r="AK16" s="364"/>
      <c r="AL16" s="151"/>
      <c r="AM16" s="353"/>
      <c r="AN16" s="365"/>
      <c r="AO16" s="365"/>
      <c r="AP16" s="368"/>
      <c r="AQ16" s="338"/>
      <c r="AR16" s="340"/>
    </row>
    <row r="17" spans="1:47" x14ac:dyDescent="0.2">
      <c r="A17" s="30">
        <v>1</v>
      </c>
      <c r="B17" s="175" t="s">
        <v>71</v>
      </c>
      <c r="C17" s="16" t="s">
        <v>68</v>
      </c>
      <c r="D17" s="31" t="s">
        <v>70</v>
      </c>
      <c r="E17" s="1" t="s">
        <v>80</v>
      </c>
      <c r="F17" s="30">
        <v>36</v>
      </c>
      <c r="G17" s="30">
        <v>5.41</v>
      </c>
      <c r="H17" s="30">
        <v>17697</v>
      </c>
      <c r="I17" s="30">
        <f t="shared" ref="I17:I23" si="1">G17*H17</f>
        <v>95740.77</v>
      </c>
      <c r="J17" s="30"/>
      <c r="K17" s="30"/>
      <c r="L17" s="30"/>
      <c r="M17" s="30">
        <v>20</v>
      </c>
      <c r="N17" s="30"/>
      <c r="O17" s="38"/>
      <c r="P17" s="30">
        <f t="shared" ref="P17:P23" si="2">I17/18*M17</f>
        <v>106378.63333333335</v>
      </c>
      <c r="Q17" s="30">
        <f t="shared" ref="Q17:Q23" si="3">I17/18*N17</f>
        <v>0</v>
      </c>
      <c r="R17" s="15">
        <f t="shared" ref="R17:R23" si="4">I17/18*O17</f>
        <v>0</v>
      </c>
      <c r="S17" s="17">
        <f t="shared" ref="S17:S23" si="5">(L17+P17+Q17+R17)*25%</f>
        <v>26594.658333333336</v>
      </c>
      <c r="T17" s="18">
        <f t="shared" ref="T17:T23" si="6">(P17+Q17+R17+L17+S17)*10%</f>
        <v>13297.32916666667</v>
      </c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  <c r="AF17" s="30">
        <f>(P17+Q17+R17+S17)*40%</f>
        <v>53189.31666666668</v>
      </c>
      <c r="AG17" s="30"/>
      <c r="AH17" s="30"/>
      <c r="AI17" s="30"/>
      <c r="AJ17" s="30"/>
      <c r="AK17" s="30"/>
      <c r="AL17" s="30"/>
      <c r="AM17" s="50">
        <f t="shared" ref="AM17:AM23" si="7">(P17+Q17+R17+S17)*30%</f>
        <v>39891.987500000003</v>
      </c>
      <c r="AN17" s="30"/>
      <c r="AO17" s="30"/>
      <c r="AP17" s="52">
        <f>AF17+AG17+AH17+AM17+AK17</f>
        <v>93081.304166666683</v>
      </c>
      <c r="AQ17" s="15">
        <f t="shared" ref="AQ17:AQ23" si="8">P17+Q17+R17+S17+T17+X17+Y17+Z17+AA17+AB17+AC17+AD17+AE17+AF17+AG17+AH17+AI17+AJ17+AK17+AM17+AN17+AO17+L17</f>
        <v>239351.92500000005</v>
      </c>
      <c r="AR17" s="15">
        <f t="shared" ref="AR17:AR23" si="9">AQ17-AP17</f>
        <v>146270.62083333335</v>
      </c>
      <c r="AS17" s="1">
        <f t="shared" ref="AS17:AS23" si="10">I17*25%</f>
        <v>23935.192500000001</v>
      </c>
      <c r="AT17" s="1">
        <f t="shared" ref="AT17:AT23" si="11">AS17+I17</f>
        <v>119675.96250000001</v>
      </c>
      <c r="AU17" s="1">
        <f>AT17/18*18*30%</f>
        <v>35902.78875</v>
      </c>
    </row>
    <row r="18" spans="1:47" x14ac:dyDescent="0.2">
      <c r="A18" s="15">
        <v>2</v>
      </c>
      <c r="B18" s="174" t="s">
        <v>72</v>
      </c>
      <c r="C18" s="16" t="s">
        <v>68</v>
      </c>
      <c r="D18" s="31" t="s">
        <v>73</v>
      </c>
      <c r="E18" s="1" t="s">
        <v>80</v>
      </c>
      <c r="F18" s="30">
        <v>19</v>
      </c>
      <c r="G18" s="30">
        <v>5.24</v>
      </c>
      <c r="H18" s="30">
        <v>17697</v>
      </c>
      <c r="I18" s="30">
        <f t="shared" si="1"/>
        <v>92732.28</v>
      </c>
      <c r="J18" s="30"/>
      <c r="K18" s="30"/>
      <c r="L18" s="51"/>
      <c r="M18" s="30">
        <v>3</v>
      </c>
      <c r="N18" s="30">
        <v>0</v>
      </c>
      <c r="O18" s="38">
        <v>0</v>
      </c>
      <c r="P18" s="30">
        <f t="shared" si="2"/>
        <v>15455.38</v>
      </c>
      <c r="Q18" s="30">
        <f t="shared" si="3"/>
        <v>0</v>
      </c>
      <c r="R18" s="15">
        <f t="shared" si="4"/>
        <v>0</v>
      </c>
      <c r="S18" s="17">
        <f t="shared" si="5"/>
        <v>3863.8449999999998</v>
      </c>
      <c r="T18" s="18">
        <f t="shared" si="6"/>
        <v>1931.9224999999999</v>
      </c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  <c r="AF18" s="30"/>
      <c r="AG18" s="30"/>
      <c r="AH18" s="30"/>
      <c r="AI18" s="30"/>
      <c r="AJ18" s="30"/>
      <c r="AK18" s="30"/>
      <c r="AL18" s="30"/>
      <c r="AM18" s="50">
        <f t="shared" si="7"/>
        <v>5795.767499999999</v>
      </c>
      <c r="AN18" s="30"/>
      <c r="AO18" s="30"/>
      <c r="AP18" s="18">
        <f t="shared" ref="AP18:AP23" si="12">AF18+AG18+AH18+AM18+AK18</f>
        <v>5795.767499999999</v>
      </c>
      <c r="AQ18" s="15">
        <f t="shared" si="8"/>
        <v>27046.914999999997</v>
      </c>
      <c r="AR18" s="15">
        <f t="shared" si="9"/>
        <v>21251.147499999999</v>
      </c>
      <c r="AS18" s="1">
        <f t="shared" si="10"/>
        <v>23183.07</v>
      </c>
      <c r="AT18" s="1">
        <f t="shared" si="11"/>
        <v>115915.35</v>
      </c>
      <c r="AU18" s="1">
        <f>AT18/18*3*30%</f>
        <v>5795.767499999999</v>
      </c>
    </row>
    <row r="19" spans="1:47" x14ac:dyDescent="0.2">
      <c r="A19" s="30">
        <v>3</v>
      </c>
      <c r="B19" s="175" t="s">
        <v>75</v>
      </c>
      <c r="C19" s="16" t="s">
        <v>68</v>
      </c>
      <c r="D19" s="31" t="s">
        <v>74</v>
      </c>
      <c r="E19" s="1" t="s">
        <v>80</v>
      </c>
      <c r="F19" s="30">
        <v>16</v>
      </c>
      <c r="G19" s="30">
        <v>5.16</v>
      </c>
      <c r="H19" s="30">
        <v>17697</v>
      </c>
      <c r="I19" s="30">
        <f t="shared" si="1"/>
        <v>91316.52</v>
      </c>
      <c r="J19" s="30"/>
      <c r="K19" s="30">
        <v>1</v>
      </c>
      <c r="L19" s="51">
        <f>I19/24*K19</f>
        <v>3804.855</v>
      </c>
      <c r="M19" s="30">
        <v>0</v>
      </c>
      <c r="N19" s="30">
        <v>0</v>
      </c>
      <c r="O19" s="38">
        <v>0</v>
      </c>
      <c r="P19" s="30">
        <f t="shared" si="2"/>
        <v>0</v>
      </c>
      <c r="Q19" s="30">
        <f t="shared" si="3"/>
        <v>0</v>
      </c>
      <c r="R19" s="15">
        <f t="shared" si="4"/>
        <v>0</v>
      </c>
      <c r="S19" s="17">
        <f t="shared" si="5"/>
        <v>951.21375</v>
      </c>
      <c r="T19" s="18">
        <f t="shared" si="6"/>
        <v>475.60687500000006</v>
      </c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  <c r="AF19" s="30">
        <v>0</v>
      </c>
      <c r="AG19" s="30"/>
      <c r="AH19" s="30"/>
      <c r="AI19" s="30"/>
      <c r="AJ19" s="30"/>
      <c r="AK19" s="30"/>
      <c r="AL19" s="30"/>
      <c r="AM19" s="50">
        <v>0</v>
      </c>
      <c r="AN19" s="30"/>
      <c r="AO19" s="30"/>
      <c r="AP19" s="18">
        <f t="shared" si="12"/>
        <v>0</v>
      </c>
      <c r="AQ19" s="15">
        <f t="shared" si="8"/>
        <v>5231.6756249999999</v>
      </c>
      <c r="AR19" s="15">
        <f t="shared" si="9"/>
        <v>5231.6756249999999</v>
      </c>
      <c r="AS19" s="1">
        <f t="shared" si="10"/>
        <v>22829.13</v>
      </c>
      <c r="AT19" s="1">
        <f t="shared" si="11"/>
        <v>114145.65000000001</v>
      </c>
      <c r="AU19" s="1">
        <f>AT19/18*0*30%</f>
        <v>0</v>
      </c>
    </row>
    <row r="20" spans="1:47" x14ac:dyDescent="0.2">
      <c r="A20" s="15">
        <v>4</v>
      </c>
      <c r="B20" s="175" t="s">
        <v>76</v>
      </c>
      <c r="C20" s="16" t="s">
        <v>63</v>
      </c>
      <c r="D20" s="31" t="s">
        <v>77</v>
      </c>
      <c r="E20" s="1" t="s">
        <v>83</v>
      </c>
      <c r="F20" s="30">
        <v>27</v>
      </c>
      <c r="G20" s="30">
        <v>4.3899999999999997</v>
      </c>
      <c r="H20" s="15">
        <v>17697</v>
      </c>
      <c r="I20" s="15">
        <f t="shared" si="1"/>
        <v>77689.829999999987</v>
      </c>
      <c r="J20" s="15"/>
      <c r="K20" s="15">
        <v>24</v>
      </c>
      <c r="L20" s="51">
        <f>I20/24*K20</f>
        <v>77689.829999999987</v>
      </c>
      <c r="M20" s="30"/>
      <c r="N20" s="15"/>
      <c r="O20" s="38"/>
      <c r="P20" s="15">
        <f t="shared" si="2"/>
        <v>0</v>
      </c>
      <c r="Q20" s="15">
        <f t="shared" si="3"/>
        <v>0</v>
      </c>
      <c r="R20" s="15">
        <f t="shared" si="4"/>
        <v>0</v>
      </c>
      <c r="S20" s="17">
        <f t="shared" si="5"/>
        <v>19422.457499999997</v>
      </c>
      <c r="T20" s="18">
        <f t="shared" si="6"/>
        <v>9711.2287499999984</v>
      </c>
      <c r="U20" s="15"/>
      <c r="V20" s="15"/>
      <c r="W20" s="15"/>
      <c r="X20" s="15"/>
      <c r="Y20" s="15"/>
      <c r="Z20" s="15"/>
      <c r="AA20" s="15"/>
      <c r="AB20" s="30"/>
      <c r="AC20" s="15"/>
      <c r="AD20" s="15"/>
      <c r="AE20" s="15"/>
      <c r="AF20" s="15"/>
      <c r="AG20" s="15"/>
      <c r="AH20" s="15"/>
      <c r="AI20" s="15"/>
      <c r="AJ20" s="15"/>
      <c r="AK20" s="15"/>
      <c r="AL20" s="15"/>
      <c r="AM20" s="50"/>
      <c r="AN20" s="15"/>
      <c r="AO20" s="15"/>
      <c r="AP20" s="18">
        <f t="shared" si="12"/>
        <v>0</v>
      </c>
      <c r="AQ20" s="15">
        <f t="shared" si="8"/>
        <v>106823.51624999999</v>
      </c>
      <c r="AR20" s="15">
        <f t="shared" si="9"/>
        <v>106823.51624999999</v>
      </c>
      <c r="AS20" s="1">
        <f t="shared" si="10"/>
        <v>19422.457499999997</v>
      </c>
      <c r="AT20" s="1">
        <f t="shared" si="11"/>
        <v>97112.287499999977</v>
      </c>
      <c r="AU20" s="1">
        <f>AT20/18*0*30%</f>
        <v>0</v>
      </c>
    </row>
    <row r="21" spans="1:47" x14ac:dyDescent="0.2">
      <c r="A21" s="30">
        <v>5</v>
      </c>
      <c r="B21" s="175" t="s">
        <v>194</v>
      </c>
      <c r="C21" s="16" t="s">
        <v>68</v>
      </c>
      <c r="D21" s="31" t="s">
        <v>42</v>
      </c>
      <c r="E21" s="1" t="s">
        <v>81</v>
      </c>
      <c r="F21" s="30">
        <v>35</v>
      </c>
      <c r="G21" s="30">
        <v>5.2</v>
      </c>
      <c r="H21" s="15">
        <v>17697</v>
      </c>
      <c r="I21" s="15">
        <f t="shared" si="1"/>
        <v>92024.400000000009</v>
      </c>
      <c r="J21" s="15"/>
      <c r="K21" s="15">
        <v>1</v>
      </c>
      <c r="L21" s="51">
        <f>I21/24*K21</f>
        <v>3834.3500000000004</v>
      </c>
      <c r="M21" s="30"/>
      <c r="N21" s="15"/>
      <c r="O21" s="38"/>
      <c r="P21" s="15"/>
      <c r="Q21" s="15">
        <f t="shared" si="3"/>
        <v>0</v>
      </c>
      <c r="R21" s="15">
        <f t="shared" si="4"/>
        <v>0</v>
      </c>
      <c r="S21" s="17">
        <f t="shared" si="5"/>
        <v>958.58750000000009</v>
      </c>
      <c r="T21" s="18">
        <f t="shared" si="6"/>
        <v>479.29375000000005</v>
      </c>
      <c r="U21" s="15"/>
      <c r="V21" s="15"/>
      <c r="W21" s="15"/>
      <c r="X21" s="15"/>
      <c r="Y21" s="15"/>
      <c r="Z21" s="15"/>
      <c r="AA21" s="15"/>
      <c r="AB21" s="30"/>
      <c r="AC21" s="15"/>
      <c r="AD21" s="15"/>
      <c r="AE21" s="15"/>
      <c r="AF21" s="15"/>
      <c r="AG21" s="15"/>
      <c r="AH21" s="15"/>
      <c r="AI21" s="15"/>
      <c r="AJ21" s="15"/>
      <c r="AK21" s="15"/>
      <c r="AL21" s="15"/>
      <c r="AM21" s="50"/>
      <c r="AN21" s="15"/>
      <c r="AO21" s="15"/>
      <c r="AP21" s="18">
        <f t="shared" si="12"/>
        <v>0</v>
      </c>
      <c r="AQ21" s="15">
        <f t="shared" si="8"/>
        <v>5272.2312500000007</v>
      </c>
      <c r="AR21" s="15">
        <f t="shared" si="9"/>
        <v>5272.2312500000007</v>
      </c>
      <c r="AS21" s="1">
        <f t="shared" si="10"/>
        <v>23006.100000000002</v>
      </c>
      <c r="AT21" s="1">
        <f t="shared" si="11"/>
        <v>115030.50000000001</v>
      </c>
      <c r="AU21" s="1">
        <f>AT21/18*0*30%</f>
        <v>0</v>
      </c>
    </row>
    <row r="22" spans="1:47" x14ac:dyDescent="0.2">
      <c r="A22" s="15">
        <v>6</v>
      </c>
      <c r="B22" s="175" t="s">
        <v>78</v>
      </c>
      <c r="C22" s="16" t="s">
        <v>68</v>
      </c>
      <c r="D22" s="31" t="s">
        <v>73</v>
      </c>
      <c r="E22" s="1" t="s">
        <v>81</v>
      </c>
      <c r="F22" s="30">
        <v>12</v>
      </c>
      <c r="G22" s="30">
        <v>4.8600000000000003</v>
      </c>
      <c r="H22" s="15">
        <v>17697</v>
      </c>
      <c r="I22" s="15">
        <f t="shared" si="1"/>
        <v>86007.420000000013</v>
      </c>
      <c r="J22" s="15"/>
      <c r="K22" s="30">
        <v>2.5</v>
      </c>
      <c r="L22" s="51">
        <f>I22/24*K22</f>
        <v>8959.1062500000007</v>
      </c>
      <c r="M22" s="30">
        <v>0</v>
      </c>
      <c r="N22" s="30">
        <v>0</v>
      </c>
      <c r="O22" s="38">
        <v>0</v>
      </c>
      <c r="P22" s="15">
        <f t="shared" si="2"/>
        <v>0</v>
      </c>
      <c r="Q22" s="15">
        <f t="shared" si="3"/>
        <v>0</v>
      </c>
      <c r="R22" s="15">
        <f t="shared" si="4"/>
        <v>0</v>
      </c>
      <c r="S22" s="17">
        <f t="shared" si="5"/>
        <v>2239.7765625000002</v>
      </c>
      <c r="T22" s="18">
        <f t="shared" si="6"/>
        <v>1119.8882812500001</v>
      </c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  <c r="AF22" s="30"/>
      <c r="AG22" s="30"/>
      <c r="AH22" s="30"/>
      <c r="AI22" s="30"/>
      <c r="AJ22" s="30"/>
      <c r="AK22" s="30"/>
      <c r="AL22" s="30"/>
      <c r="AM22" s="50">
        <v>0</v>
      </c>
      <c r="AN22" s="30"/>
      <c r="AO22" s="30"/>
      <c r="AP22" s="18">
        <f t="shared" si="12"/>
        <v>0</v>
      </c>
      <c r="AQ22" s="15">
        <f t="shared" si="8"/>
        <v>12318.771093750001</v>
      </c>
      <c r="AR22" s="15">
        <f t="shared" si="9"/>
        <v>12318.771093750001</v>
      </c>
      <c r="AS22" s="1">
        <f t="shared" si="10"/>
        <v>21501.855000000003</v>
      </c>
      <c r="AT22" s="1">
        <f t="shared" si="11"/>
        <v>107509.27500000002</v>
      </c>
      <c r="AU22" s="1">
        <f>AT22/18*0*30%</f>
        <v>0</v>
      </c>
    </row>
    <row r="23" spans="1:47" x14ac:dyDescent="0.2">
      <c r="A23" s="30">
        <v>7</v>
      </c>
      <c r="B23" s="175" t="s">
        <v>79</v>
      </c>
      <c r="C23" s="16" t="s">
        <v>68</v>
      </c>
      <c r="D23" s="19" t="s">
        <v>56</v>
      </c>
      <c r="E23" s="1" t="s">
        <v>82</v>
      </c>
      <c r="F23" s="47">
        <v>7</v>
      </c>
      <c r="G23" s="15">
        <v>4.66</v>
      </c>
      <c r="H23" s="15">
        <v>17697</v>
      </c>
      <c r="I23" s="30">
        <f t="shared" si="1"/>
        <v>82468.02</v>
      </c>
      <c r="J23" s="30"/>
      <c r="K23" s="15"/>
      <c r="L23" s="51"/>
      <c r="M23" s="30">
        <v>2</v>
      </c>
      <c r="N23" s="15">
        <v>0</v>
      </c>
      <c r="O23" s="38">
        <v>0</v>
      </c>
      <c r="P23" s="15">
        <f t="shared" si="2"/>
        <v>9163.1133333333346</v>
      </c>
      <c r="Q23" s="15">
        <f t="shared" si="3"/>
        <v>0</v>
      </c>
      <c r="R23" s="15">
        <f t="shared" si="4"/>
        <v>0</v>
      </c>
      <c r="S23" s="17">
        <f t="shared" si="5"/>
        <v>2290.7783333333336</v>
      </c>
      <c r="T23" s="18">
        <f t="shared" si="6"/>
        <v>1145.3891666666668</v>
      </c>
      <c r="U23" s="15"/>
      <c r="V23" s="15"/>
      <c r="W23" s="15"/>
      <c r="X23" s="15"/>
      <c r="Y23" s="15"/>
      <c r="Z23" s="15"/>
      <c r="AA23" s="15"/>
      <c r="AB23" s="15"/>
      <c r="AC23" s="15"/>
      <c r="AD23" s="15"/>
      <c r="AE23" s="15"/>
      <c r="AF23" s="15"/>
      <c r="AG23" s="15"/>
      <c r="AH23" s="30">
        <v>3436</v>
      </c>
      <c r="AI23" s="15"/>
      <c r="AJ23" s="15"/>
      <c r="AK23" s="15"/>
      <c r="AL23" s="15"/>
      <c r="AM23" s="50">
        <f t="shared" si="7"/>
        <v>3436.1675000000005</v>
      </c>
      <c r="AN23" s="15"/>
      <c r="AO23" s="15"/>
      <c r="AP23" s="18">
        <f t="shared" si="12"/>
        <v>6872.1675000000005</v>
      </c>
      <c r="AQ23" s="15">
        <f t="shared" si="8"/>
        <v>19471.448333333334</v>
      </c>
      <c r="AR23" s="15">
        <f t="shared" si="9"/>
        <v>12599.280833333334</v>
      </c>
      <c r="AS23" s="1">
        <f t="shared" si="10"/>
        <v>20617.005000000001</v>
      </c>
      <c r="AT23" s="1">
        <f t="shared" si="11"/>
        <v>103085.02500000001</v>
      </c>
      <c r="AU23" s="1">
        <f>AT23/18*2*30%</f>
        <v>3436.1675000000005</v>
      </c>
    </row>
    <row r="24" spans="1:47" ht="15.75" x14ac:dyDescent="0.25">
      <c r="A24" s="1"/>
      <c r="B24" s="12"/>
      <c r="C24" s="11"/>
      <c r="D24" s="11"/>
      <c r="E24" s="1"/>
      <c r="F24" s="1"/>
      <c r="G24" s="1"/>
      <c r="H24" s="1"/>
      <c r="I24" s="1" t="s">
        <v>58</v>
      </c>
      <c r="J24" s="1"/>
      <c r="K24" s="6">
        <f t="shared" ref="K24:AR24" si="13">SUM(K17:K23)</f>
        <v>28.5</v>
      </c>
      <c r="L24" s="6">
        <f t="shared" si="13"/>
        <v>94288.141249999986</v>
      </c>
      <c r="M24" s="6">
        <f t="shared" si="13"/>
        <v>25</v>
      </c>
      <c r="N24" s="6">
        <f t="shared" si="13"/>
        <v>0</v>
      </c>
      <c r="O24" s="6">
        <f t="shared" si="13"/>
        <v>0</v>
      </c>
      <c r="P24" s="6">
        <f t="shared" si="13"/>
        <v>130997.12666666668</v>
      </c>
      <c r="Q24" s="6">
        <f t="shared" si="13"/>
        <v>0</v>
      </c>
      <c r="R24" s="6">
        <f t="shared" si="13"/>
        <v>0</v>
      </c>
      <c r="S24" s="6">
        <f t="shared" si="13"/>
        <v>56321.316979166673</v>
      </c>
      <c r="T24" s="6">
        <f t="shared" si="13"/>
        <v>28160.65848958334</v>
      </c>
      <c r="U24" s="6">
        <f t="shared" si="13"/>
        <v>0</v>
      </c>
      <c r="V24" s="6">
        <f t="shared" si="13"/>
        <v>0</v>
      </c>
      <c r="W24" s="6">
        <f t="shared" si="13"/>
        <v>0</v>
      </c>
      <c r="X24" s="6">
        <f t="shared" si="13"/>
        <v>0</v>
      </c>
      <c r="Y24" s="6">
        <f t="shared" si="13"/>
        <v>0</v>
      </c>
      <c r="Z24" s="6">
        <f t="shared" si="13"/>
        <v>0</v>
      </c>
      <c r="AA24" s="6">
        <f t="shared" si="13"/>
        <v>0</v>
      </c>
      <c r="AB24" s="6">
        <f t="shared" si="13"/>
        <v>0</v>
      </c>
      <c r="AC24" s="6">
        <f t="shared" si="13"/>
        <v>0</v>
      </c>
      <c r="AD24" s="6">
        <f t="shared" si="13"/>
        <v>0</v>
      </c>
      <c r="AE24" s="6">
        <f t="shared" si="13"/>
        <v>0</v>
      </c>
      <c r="AF24" s="6">
        <f t="shared" si="13"/>
        <v>53189.31666666668</v>
      </c>
      <c r="AG24" s="6">
        <f t="shared" si="13"/>
        <v>0</v>
      </c>
      <c r="AH24" s="6">
        <f t="shared" si="13"/>
        <v>3436</v>
      </c>
      <c r="AI24" s="6">
        <f t="shared" si="13"/>
        <v>0</v>
      </c>
      <c r="AJ24" s="6">
        <f t="shared" si="13"/>
        <v>0</v>
      </c>
      <c r="AK24" s="6">
        <f t="shared" si="13"/>
        <v>0</v>
      </c>
      <c r="AL24" s="6"/>
      <c r="AM24" s="6">
        <f t="shared" si="13"/>
        <v>49123.922500000008</v>
      </c>
      <c r="AN24" s="6">
        <f t="shared" si="13"/>
        <v>0</v>
      </c>
      <c r="AO24" s="6">
        <f t="shared" si="13"/>
        <v>0</v>
      </c>
      <c r="AP24" s="6">
        <f t="shared" si="13"/>
        <v>105749.23916666668</v>
      </c>
      <c r="AQ24" s="6">
        <f t="shared" si="13"/>
        <v>415516.48255208333</v>
      </c>
      <c r="AR24" s="6">
        <f t="shared" si="13"/>
        <v>309767.24338541669</v>
      </c>
    </row>
    <row r="25" spans="1:47" x14ac:dyDescent="0.2">
      <c r="A25" s="153"/>
      <c r="I25" s="9"/>
      <c r="J25" s="9"/>
      <c r="K25" s="9"/>
      <c r="L25" s="9"/>
      <c r="AB25" s="73"/>
    </row>
    <row r="26" spans="1:47" x14ac:dyDescent="0.2">
      <c r="B26" s="9" t="s">
        <v>86</v>
      </c>
      <c r="C26" s="9"/>
      <c r="D26" s="9"/>
      <c r="AO26">
        <f>L24+P24+Q24+R24+S24+T24+X24+Y24+Z24+AA24+AB24+AC24+AF24+AG24+AH24+AI24+AK24+AM24+AN24</f>
        <v>415516.48255208333</v>
      </c>
    </row>
    <row r="27" spans="1:47" x14ac:dyDescent="0.2">
      <c r="B27" s="9" t="s">
        <v>89</v>
      </c>
      <c r="C27" s="9"/>
      <c r="D27" s="9"/>
    </row>
    <row r="28" spans="1:47" x14ac:dyDescent="0.2">
      <c r="B28" s="9" t="s">
        <v>90</v>
      </c>
      <c r="C28" s="9"/>
      <c r="D28" s="9"/>
      <c r="AO28">
        <f>AO26-AQ24</f>
        <v>0</v>
      </c>
    </row>
    <row r="29" spans="1:47" x14ac:dyDescent="0.2">
      <c r="B29" s="61" t="s">
        <v>162</v>
      </c>
      <c r="C29" s="61"/>
    </row>
    <row r="30" spans="1:47" s="58" customFormat="1" x14ac:dyDescent="0.2"/>
    <row r="31" spans="1:47" x14ac:dyDescent="0.2">
      <c r="B31" s="9"/>
      <c r="N31" s="20" t="s">
        <v>193</v>
      </c>
      <c r="O31" s="21"/>
      <c r="P31" s="21"/>
      <c r="Q31" s="22" t="s">
        <v>44</v>
      </c>
      <c r="R31" s="23" t="s">
        <v>45</v>
      </c>
      <c r="S31" s="23" t="s">
        <v>46</v>
      </c>
      <c r="T31" s="23" t="s">
        <v>47</v>
      </c>
    </row>
    <row r="32" spans="1:47" x14ac:dyDescent="0.2">
      <c r="B32" s="9" t="s">
        <v>87</v>
      </c>
      <c r="C32" s="9"/>
      <c r="D32" s="9"/>
      <c r="E32" s="9"/>
      <c r="F32" s="9"/>
      <c r="G32" s="9"/>
      <c r="N32" s="20" t="s">
        <v>48</v>
      </c>
      <c r="O32" s="24"/>
      <c r="P32" s="24"/>
      <c r="Q32" s="25">
        <v>4</v>
      </c>
      <c r="R32" s="25">
        <v>5</v>
      </c>
      <c r="S32" s="25">
        <v>2</v>
      </c>
      <c r="T32" s="25">
        <f>Q32+R32+S32</f>
        <v>11</v>
      </c>
    </row>
    <row r="33" spans="1:47" x14ac:dyDescent="0.2">
      <c r="B33" s="9" t="s">
        <v>88</v>
      </c>
      <c r="C33" s="9"/>
      <c r="D33" s="9"/>
      <c r="E33" s="9"/>
      <c r="F33" s="9"/>
      <c r="G33" s="9"/>
      <c r="N33" s="26" t="s">
        <v>49</v>
      </c>
      <c r="O33" s="27"/>
      <c r="P33" s="27"/>
      <c r="Q33" s="25">
        <v>4</v>
      </c>
      <c r="R33" s="25">
        <v>5</v>
      </c>
      <c r="S33" s="25">
        <v>2</v>
      </c>
      <c r="T33" s="25">
        <f t="shared" ref="T33:T39" si="14">Q33+R33+S33</f>
        <v>11</v>
      </c>
    </row>
    <row r="34" spans="1:47" x14ac:dyDescent="0.2">
      <c r="N34" s="45" t="s">
        <v>59</v>
      </c>
      <c r="O34" s="46"/>
      <c r="P34" s="44"/>
      <c r="Q34" s="44">
        <v>53</v>
      </c>
      <c r="R34" s="1">
        <v>72</v>
      </c>
      <c r="S34" s="1">
        <v>16</v>
      </c>
      <c r="T34" s="25">
        <f t="shared" si="14"/>
        <v>141</v>
      </c>
      <c r="AR34" s="20"/>
    </row>
    <row r="35" spans="1:47" x14ac:dyDescent="0.2">
      <c r="M35" s="150"/>
      <c r="N35" s="77" t="s">
        <v>50</v>
      </c>
      <c r="O35" s="78"/>
      <c r="P35" s="78"/>
      <c r="Q35" s="79">
        <v>97</v>
      </c>
      <c r="R35" s="79">
        <v>157</v>
      </c>
      <c r="S35" s="79">
        <v>66</v>
      </c>
      <c r="T35" s="25">
        <f t="shared" si="14"/>
        <v>320</v>
      </c>
      <c r="U35" s="80"/>
      <c r="V35" s="80"/>
      <c r="AD35" s="80"/>
      <c r="AE35" s="80"/>
      <c r="AF35" s="80"/>
      <c r="AG35" s="80"/>
      <c r="AH35" s="80"/>
      <c r="AI35" s="80"/>
      <c r="AJ35" s="80"/>
      <c r="AK35" s="80"/>
      <c r="AL35" s="80"/>
      <c r="AM35" s="80"/>
    </row>
    <row r="36" spans="1:47" x14ac:dyDescent="0.2">
      <c r="N36" s="20" t="s">
        <v>51</v>
      </c>
      <c r="O36" s="24"/>
      <c r="P36" s="24"/>
      <c r="Q36" s="41">
        <v>107</v>
      </c>
      <c r="R36" s="41">
        <v>190</v>
      </c>
      <c r="S36" s="41">
        <v>78</v>
      </c>
      <c r="T36" s="25">
        <f t="shared" si="14"/>
        <v>375</v>
      </c>
    </row>
    <row r="37" spans="1:47" x14ac:dyDescent="0.2">
      <c r="N37" s="26" t="s">
        <v>52</v>
      </c>
      <c r="O37" s="27"/>
      <c r="P37" s="27"/>
      <c r="Q37" s="42">
        <v>10</v>
      </c>
      <c r="R37" s="42">
        <v>16</v>
      </c>
      <c r="S37" s="42">
        <v>12</v>
      </c>
      <c r="T37" s="25">
        <f t="shared" si="14"/>
        <v>38</v>
      </c>
      <c r="AD37" s="40"/>
    </row>
    <row r="38" spans="1:47" x14ac:dyDescent="0.2">
      <c r="E38" s="9" t="s">
        <v>222</v>
      </c>
      <c r="F38" s="9"/>
      <c r="G38" s="9"/>
      <c r="H38" s="9"/>
      <c r="I38" s="9"/>
      <c r="J38" s="9"/>
      <c r="M38" s="36"/>
      <c r="N38" s="20" t="s">
        <v>53</v>
      </c>
      <c r="O38" s="28"/>
      <c r="P38" s="29"/>
      <c r="Q38" s="43">
        <v>0</v>
      </c>
      <c r="R38" s="23">
        <v>17</v>
      </c>
      <c r="S38" s="23">
        <v>0</v>
      </c>
      <c r="T38" s="25">
        <f t="shared" si="14"/>
        <v>17</v>
      </c>
    </row>
    <row r="39" spans="1:47" x14ac:dyDescent="0.2">
      <c r="I39" s="9" t="s">
        <v>85</v>
      </c>
      <c r="J39" s="9"/>
      <c r="K39" s="9"/>
      <c r="L39" s="9"/>
      <c r="N39" s="1"/>
      <c r="O39" s="1" t="s">
        <v>54</v>
      </c>
      <c r="P39" s="1"/>
      <c r="Q39" s="23">
        <v>27</v>
      </c>
      <c r="R39" s="5"/>
      <c r="S39" s="5"/>
      <c r="T39" s="25">
        <f t="shared" si="14"/>
        <v>27</v>
      </c>
    </row>
    <row r="40" spans="1:47" ht="39.6" customHeight="1" thickBot="1" x14ac:dyDescent="0.25"/>
    <row r="41" spans="1:47" ht="13.15" customHeight="1" x14ac:dyDescent="0.2">
      <c r="A41" s="381" t="s">
        <v>18</v>
      </c>
      <c r="B41" s="372" t="s">
        <v>19</v>
      </c>
      <c r="C41" s="375" t="s">
        <v>20</v>
      </c>
      <c r="D41" s="376" t="s">
        <v>21</v>
      </c>
      <c r="E41" s="375" t="s">
        <v>22</v>
      </c>
      <c r="F41" s="375" t="s">
        <v>23</v>
      </c>
      <c r="G41" s="375" t="s">
        <v>24</v>
      </c>
      <c r="H41" s="375" t="s">
        <v>55</v>
      </c>
      <c r="I41" s="375" t="s">
        <v>25</v>
      </c>
      <c r="J41" s="375" t="s">
        <v>209</v>
      </c>
      <c r="K41" s="13" t="s">
        <v>26</v>
      </c>
      <c r="L41" s="13" t="s">
        <v>27</v>
      </c>
      <c r="M41" s="383" t="s">
        <v>28</v>
      </c>
      <c r="N41" s="384"/>
      <c r="O41" s="385"/>
      <c r="P41" s="386" t="s">
        <v>27</v>
      </c>
      <c r="Q41" s="387"/>
      <c r="R41" s="387"/>
      <c r="S41" s="388">
        <v>0.25</v>
      </c>
      <c r="T41" s="394" t="s">
        <v>30</v>
      </c>
      <c r="U41" s="383" t="s">
        <v>29</v>
      </c>
      <c r="V41" s="384"/>
      <c r="W41" s="384"/>
      <c r="X41" s="384"/>
      <c r="Y41" s="384"/>
      <c r="Z41" s="385"/>
      <c r="AA41" s="344" t="s">
        <v>4</v>
      </c>
      <c r="AB41" s="344"/>
      <c r="AC41" s="345" t="s">
        <v>3</v>
      </c>
      <c r="AD41" s="345" t="s">
        <v>43</v>
      </c>
      <c r="AE41" s="344" t="s">
        <v>11</v>
      </c>
      <c r="AF41" s="344"/>
      <c r="AG41" s="344"/>
      <c r="AH41" s="344"/>
      <c r="AI41" s="348" t="s">
        <v>6</v>
      </c>
      <c r="AJ41" s="349"/>
      <c r="AK41" s="350"/>
      <c r="AL41" s="177"/>
      <c r="AM41" s="351" t="s">
        <v>12</v>
      </c>
      <c r="AN41" s="344" t="s">
        <v>16</v>
      </c>
      <c r="AO41" s="344"/>
      <c r="AP41" s="366" t="s">
        <v>14</v>
      </c>
      <c r="AQ41" s="337" t="s">
        <v>31</v>
      </c>
      <c r="AR41" s="339" t="s">
        <v>32</v>
      </c>
    </row>
    <row r="42" spans="1:47" x14ac:dyDescent="0.2">
      <c r="A42" s="382"/>
      <c r="B42" s="373"/>
      <c r="C42" s="364"/>
      <c r="D42" s="377"/>
      <c r="E42" s="364"/>
      <c r="F42" s="364"/>
      <c r="G42" s="364"/>
      <c r="H42" s="378"/>
      <c r="I42" s="364"/>
      <c r="J42" s="364"/>
      <c r="K42" s="341" t="s">
        <v>33</v>
      </c>
      <c r="L42" s="341" t="s">
        <v>33</v>
      </c>
      <c r="M42" s="392" t="s">
        <v>0</v>
      </c>
      <c r="N42" s="341" t="s">
        <v>1</v>
      </c>
      <c r="O42" s="397" t="s">
        <v>2</v>
      </c>
      <c r="P42" s="360" t="s">
        <v>0</v>
      </c>
      <c r="Q42" s="341" t="s">
        <v>1</v>
      </c>
      <c r="R42" s="399" t="s">
        <v>2</v>
      </c>
      <c r="S42" s="389"/>
      <c r="T42" s="395"/>
      <c r="U42" s="401" t="s">
        <v>34</v>
      </c>
      <c r="V42" s="402"/>
      <c r="W42" s="403"/>
      <c r="X42" s="407" t="s">
        <v>35</v>
      </c>
      <c r="Y42" s="408"/>
      <c r="Z42" s="409"/>
      <c r="AA42" s="354" t="s">
        <v>17</v>
      </c>
      <c r="AB42" s="355"/>
      <c r="AC42" s="346"/>
      <c r="AD42" s="347"/>
      <c r="AE42" s="358" t="s">
        <v>10</v>
      </c>
      <c r="AF42" s="346" t="s">
        <v>9</v>
      </c>
      <c r="AG42" s="360" t="s">
        <v>8</v>
      </c>
      <c r="AH42" s="360" t="s">
        <v>7</v>
      </c>
      <c r="AI42" s="364" t="s">
        <v>36</v>
      </c>
      <c r="AJ42" s="364" t="s">
        <v>37</v>
      </c>
      <c r="AK42" s="364" t="s">
        <v>38</v>
      </c>
      <c r="AL42" s="151"/>
      <c r="AM42" s="352"/>
      <c r="AN42" s="358" t="s">
        <v>13</v>
      </c>
      <c r="AO42" s="358" t="s">
        <v>15</v>
      </c>
      <c r="AP42" s="367"/>
      <c r="AQ42" s="338"/>
      <c r="AR42" s="340"/>
    </row>
    <row r="43" spans="1:47" x14ac:dyDescent="0.2">
      <c r="A43" s="382"/>
      <c r="B43" s="373"/>
      <c r="C43" s="364"/>
      <c r="D43" s="377"/>
      <c r="E43" s="364"/>
      <c r="F43" s="364"/>
      <c r="G43" s="364"/>
      <c r="H43" s="378"/>
      <c r="I43" s="364"/>
      <c r="J43" s="364"/>
      <c r="K43" s="342"/>
      <c r="L43" s="342"/>
      <c r="M43" s="393"/>
      <c r="N43" s="342"/>
      <c r="O43" s="398"/>
      <c r="P43" s="361"/>
      <c r="Q43" s="342"/>
      <c r="R43" s="400"/>
      <c r="S43" s="389"/>
      <c r="T43" s="395"/>
      <c r="U43" s="404"/>
      <c r="V43" s="405"/>
      <c r="W43" s="406"/>
      <c r="X43" s="410"/>
      <c r="Y43" s="411"/>
      <c r="Z43" s="412"/>
      <c r="AA43" s="356"/>
      <c r="AB43" s="357"/>
      <c r="AC43" s="346"/>
      <c r="AD43" s="347"/>
      <c r="AE43" s="359"/>
      <c r="AF43" s="346"/>
      <c r="AG43" s="361"/>
      <c r="AH43" s="361"/>
      <c r="AI43" s="364"/>
      <c r="AJ43" s="364"/>
      <c r="AK43" s="364"/>
      <c r="AL43" s="151"/>
      <c r="AM43" s="352"/>
      <c r="AN43" s="359"/>
      <c r="AO43" s="359"/>
      <c r="AP43" s="367"/>
      <c r="AQ43" s="338"/>
      <c r="AR43" s="340"/>
    </row>
    <row r="44" spans="1:47" x14ac:dyDescent="0.2">
      <c r="A44" s="382"/>
      <c r="B44" s="373"/>
      <c r="C44" s="364"/>
      <c r="D44" s="377"/>
      <c r="E44" s="364"/>
      <c r="F44" s="364"/>
      <c r="G44" s="364"/>
      <c r="H44" s="378"/>
      <c r="I44" s="364"/>
      <c r="J44" s="364"/>
      <c r="K44" s="342"/>
      <c r="L44" s="342"/>
      <c r="M44" s="393"/>
      <c r="N44" s="342"/>
      <c r="O44" s="398"/>
      <c r="P44" s="361"/>
      <c r="Q44" s="342"/>
      <c r="R44" s="400"/>
      <c r="S44" s="390"/>
      <c r="T44" s="395"/>
      <c r="U44" s="341" t="s">
        <v>0</v>
      </c>
      <c r="V44" s="341" t="s">
        <v>1</v>
      </c>
      <c r="W44" s="341" t="s">
        <v>2</v>
      </c>
      <c r="X44" s="360" t="s">
        <v>0</v>
      </c>
      <c r="Y44" s="360" t="s">
        <v>1</v>
      </c>
      <c r="Z44" s="360" t="s">
        <v>2</v>
      </c>
      <c r="AA44" s="14"/>
      <c r="AB44" s="14"/>
      <c r="AC44" s="346"/>
      <c r="AD44" s="347"/>
      <c r="AE44" s="359"/>
      <c r="AF44" s="346"/>
      <c r="AG44" s="361"/>
      <c r="AH44" s="361"/>
      <c r="AI44" s="364"/>
      <c r="AJ44" s="364"/>
      <c r="AK44" s="364"/>
      <c r="AL44" s="151"/>
      <c r="AM44" s="352"/>
      <c r="AN44" s="359"/>
      <c r="AO44" s="359"/>
      <c r="AP44" s="367"/>
      <c r="AQ44" s="338"/>
      <c r="AR44" s="340"/>
    </row>
    <row r="45" spans="1:47" x14ac:dyDescent="0.2">
      <c r="A45" s="382"/>
      <c r="B45" s="373"/>
      <c r="C45" s="364"/>
      <c r="D45" s="377"/>
      <c r="E45" s="364"/>
      <c r="F45" s="364"/>
      <c r="G45" s="364"/>
      <c r="H45" s="378"/>
      <c r="I45" s="364"/>
      <c r="J45" s="364"/>
      <c r="K45" s="342"/>
      <c r="L45" s="342"/>
      <c r="M45" s="393"/>
      <c r="N45" s="342"/>
      <c r="O45" s="398"/>
      <c r="P45" s="361"/>
      <c r="Q45" s="342"/>
      <c r="R45" s="400"/>
      <c r="S45" s="390"/>
      <c r="T45" s="395"/>
      <c r="U45" s="342"/>
      <c r="V45" s="342"/>
      <c r="W45" s="342"/>
      <c r="X45" s="361"/>
      <c r="Y45" s="361"/>
      <c r="Z45" s="361"/>
      <c r="AA45" s="362" t="s">
        <v>0</v>
      </c>
      <c r="AB45" s="362" t="s">
        <v>5</v>
      </c>
      <c r="AC45" s="346"/>
      <c r="AD45" s="347"/>
      <c r="AE45" s="359"/>
      <c r="AF45" s="346"/>
      <c r="AG45" s="361"/>
      <c r="AH45" s="361"/>
      <c r="AI45" s="364"/>
      <c r="AJ45" s="364"/>
      <c r="AK45" s="364"/>
      <c r="AL45" s="151"/>
      <c r="AM45" s="352"/>
      <c r="AN45" s="359"/>
      <c r="AO45" s="359"/>
      <c r="AP45" s="367"/>
      <c r="AQ45" s="338"/>
      <c r="AR45" s="340"/>
    </row>
    <row r="46" spans="1:47" ht="13.5" thickBot="1" x14ac:dyDescent="0.25">
      <c r="A46" s="382"/>
      <c r="B46" s="374"/>
      <c r="C46" s="364"/>
      <c r="D46" s="377"/>
      <c r="E46" s="364"/>
      <c r="F46" s="364"/>
      <c r="G46" s="364"/>
      <c r="H46" s="379"/>
      <c r="I46" s="364"/>
      <c r="J46" s="380"/>
      <c r="K46" s="342"/>
      <c r="L46" s="342"/>
      <c r="M46" s="393"/>
      <c r="N46" s="342"/>
      <c r="O46" s="398"/>
      <c r="P46" s="361"/>
      <c r="Q46" s="342"/>
      <c r="R46" s="400"/>
      <c r="S46" s="391"/>
      <c r="T46" s="395"/>
      <c r="U46" s="342"/>
      <c r="V46" s="342"/>
      <c r="W46" s="342"/>
      <c r="X46" s="361"/>
      <c r="Y46" s="361"/>
      <c r="Z46" s="361"/>
      <c r="AA46" s="363"/>
      <c r="AB46" s="363"/>
      <c r="AC46" s="346"/>
      <c r="AD46" s="396"/>
      <c r="AE46" s="359"/>
      <c r="AF46" s="346"/>
      <c r="AG46" s="361"/>
      <c r="AH46" s="361"/>
      <c r="AI46" s="364"/>
      <c r="AJ46" s="364"/>
      <c r="AK46" s="364"/>
      <c r="AL46" s="151"/>
      <c r="AM46" s="353"/>
      <c r="AN46" s="365"/>
      <c r="AO46" s="365"/>
      <c r="AP46" s="368"/>
      <c r="AQ46" s="338"/>
      <c r="AR46" s="340"/>
      <c r="AS46" s="1">
        <f>J46*25%</f>
        <v>0</v>
      </c>
      <c r="AT46" s="1">
        <f>AS46+J46</f>
        <v>0</v>
      </c>
      <c r="AU46" s="1">
        <f>AT46/18*6*30%</f>
        <v>0</v>
      </c>
    </row>
    <row r="47" spans="1:47" x14ac:dyDescent="0.2">
      <c r="A47" s="30">
        <v>1</v>
      </c>
      <c r="B47" s="31" t="s">
        <v>221</v>
      </c>
      <c r="C47" s="16" t="s">
        <v>68</v>
      </c>
      <c r="D47" s="31" t="s">
        <v>74</v>
      </c>
      <c r="E47" s="1" t="s">
        <v>91</v>
      </c>
      <c r="F47" s="30">
        <v>12.4</v>
      </c>
      <c r="G47" s="30">
        <v>4.38</v>
      </c>
      <c r="H47" s="30">
        <v>17697</v>
      </c>
      <c r="I47" s="30">
        <f t="shared" ref="I47:I50" si="15">G47*H47</f>
        <v>77512.86</v>
      </c>
      <c r="J47" s="30">
        <f t="shared" ref="J47:J50" si="16">I47*1.5</f>
        <v>116269.29000000001</v>
      </c>
      <c r="K47" s="30">
        <v>1</v>
      </c>
      <c r="L47" s="51">
        <f>J47/24*K47</f>
        <v>4844.55375</v>
      </c>
      <c r="M47" s="30">
        <v>0</v>
      </c>
      <c r="N47" s="30">
        <v>0</v>
      </c>
      <c r="O47" s="38">
        <v>0</v>
      </c>
      <c r="P47" s="30">
        <f t="shared" ref="P47:P50" si="17">J47/18*M47</f>
        <v>0</v>
      </c>
      <c r="Q47" s="30">
        <f t="shared" ref="Q47:Q50" si="18">I47/18*N47</f>
        <v>0</v>
      </c>
      <c r="R47" s="15">
        <f t="shared" ref="R47:R50" si="19">I47/18*O47</f>
        <v>0</v>
      </c>
      <c r="S47" s="17">
        <f t="shared" ref="S47:S50" si="20">(L47+P47+Q47+R47)*25%</f>
        <v>1211.1384375</v>
      </c>
      <c r="T47" s="18">
        <f t="shared" ref="T47:T50" si="21">(P47+Q47+R47+L47+S47)*10%</f>
        <v>605.56921875</v>
      </c>
      <c r="U47" s="30"/>
      <c r="V47" s="30"/>
      <c r="W47" s="30"/>
      <c r="X47" s="30"/>
      <c r="Y47" s="30"/>
      <c r="Z47" s="30"/>
      <c r="AA47" s="30"/>
      <c r="AB47" s="30"/>
      <c r="AC47" s="30"/>
      <c r="AD47" s="30"/>
      <c r="AE47" s="30"/>
      <c r="AF47" s="30">
        <v>0</v>
      </c>
      <c r="AG47" s="30"/>
      <c r="AH47" s="30"/>
      <c r="AI47" s="30"/>
      <c r="AJ47" s="30"/>
      <c r="AK47" s="30"/>
      <c r="AL47" s="30"/>
      <c r="AM47" s="50">
        <v>0</v>
      </c>
      <c r="AN47" s="30"/>
      <c r="AO47" s="30"/>
      <c r="AP47" s="18">
        <f t="shared" ref="AP47:AP50" si="22">AF47+AG47+AH47+AM47+AK47</f>
        <v>0</v>
      </c>
      <c r="AQ47" s="15">
        <f t="shared" ref="AQ47:AQ50" si="23">P47+Q47+R47+S47+T47+X47+Y47+Z47+AA47+AB47+AC47+AD47+AE47+AF47+AG47+AH47+AI47+AJ47+AK47+AM47+AN47+AO47+L47</f>
        <v>6661.2614062499997</v>
      </c>
      <c r="AR47" s="15">
        <f t="shared" ref="AR47:AR50" si="24">AQ47-AP47</f>
        <v>6661.2614062499997</v>
      </c>
      <c r="AS47" s="1">
        <f t="shared" ref="AS47:AS50" si="25">I47*25%</f>
        <v>19378.215</v>
      </c>
      <c r="AT47" s="1">
        <f t="shared" ref="AT47:AT50" si="26">AS47+I47</f>
        <v>96891.074999999997</v>
      </c>
      <c r="AU47" s="1">
        <f>AT47/18*0*30%</f>
        <v>0</v>
      </c>
    </row>
    <row r="48" spans="1:47" x14ac:dyDescent="0.2">
      <c r="A48" s="15">
        <v>2</v>
      </c>
      <c r="B48" s="31" t="s">
        <v>76</v>
      </c>
      <c r="C48" s="16" t="s">
        <v>63</v>
      </c>
      <c r="D48" s="31" t="s">
        <v>77</v>
      </c>
      <c r="E48" s="1" t="s">
        <v>92</v>
      </c>
      <c r="F48" s="30">
        <v>27</v>
      </c>
      <c r="G48" s="30">
        <v>4.5199999999999996</v>
      </c>
      <c r="H48" s="15">
        <v>17697</v>
      </c>
      <c r="I48" s="15">
        <f t="shared" si="15"/>
        <v>79990.439999999988</v>
      </c>
      <c r="J48" s="30">
        <f t="shared" si="16"/>
        <v>119985.65999999997</v>
      </c>
      <c r="K48" s="15">
        <v>24</v>
      </c>
      <c r="L48" s="51">
        <f t="shared" ref="L48:L50" si="27">J48/24*K48</f>
        <v>119985.65999999997</v>
      </c>
      <c r="M48" s="30"/>
      <c r="N48" s="15"/>
      <c r="O48" s="38"/>
      <c r="P48" s="30">
        <f t="shared" si="17"/>
        <v>0</v>
      </c>
      <c r="Q48" s="15">
        <f t="shared" si="18"/>
        <v>0</v>
      </c>
      <c r="R48" s="15">
        <f t="shared" si="19"/>
        <v>0</v>
      </c>
      <c r="S48" s="17">
        <f t="shared" si="20"/>
        <v>29996.414999999994</v>
      </c>
      <c r="T48" s="18">
        <f t="shared" si="21"/>
        <v>14998.207499999997</v>
      </c>
      <c r="U48" s="15"/>
      <c r="V48" s="15"/>
      <c r="W48" s="15"/>
      <c r="X48" s="15"/>
      <c r="Y48" s="15"/>
      <c r="Z48" s="15"/>
      <c r="AA48" s="15"/>
      <c r="AB48" s="30"/>
      <c r="AC48" s="15"/>
      <c r="AD48" s="15"/>
      <c r="AE48" s="15"/>
      <c r="AF48" s="1">
        <v>59993</v>
      </c>
      <c r="AG48" s="15"/>
      <c r="AH48" s="15"/>
      <c r="AI48" s="15"/>
      <c r="AJ48" s="15"/>
      <c r="AK48" s="15"/>
      <c r="AL48" s="15"/>
      <c r="AM48" s="50"/>
      <c r="AN48" s="15"/>
      <c r="AO48" s="15"/>
      <c r="AP48" s="18">
        <f t="shared" si="22"/>
        <v>59993</v>
      </c>
      <c r="AQ48" s="50">
        <f>P48+Q48+R48+S48+T48+X48+Y48+Z48+AA48+AB48+AC48+AD48+AE48+AF48+AG48+AH48+AI48+AJ48+AK48+AM48+AN48+AO48+L48</f>
        <v>224973.28249999997</v>
      </c>
      <c r="AR48" s="15">
        <f t="shared" si="24"/>
        <v>164980.28249999997</v>
      </c>
      <c r="AS48" s="1">
        <f t="shared" si="25"/>
        <v>19997.609999999997</v>
      </c>
      <c r="AT48" s="1">
        <f t="shared" si="26"/>
        <v>99988.049999999988</v>
      </c>
      <c r="AU48" s="1">
        <f>AT48/18*0*30%</f>
        <v>0</v>
      </c>
    </row>
    <row r="49" spans="1:47" x14ac:dyDescent="0.2">
      <c r="A49" s="30">
        <v>3</v>
      </c>
      <c r="B49" s="31" t="s">
        <v>194</v>
      </c>
      <c r="C49" s="16" t="s">
        <v>68</v>
      </c>
      <c r="D49" s="31" t="s">
        <v>42</v>
      </c>
      <c r="E49" s="1" t="s">
        <v>81</v>
      </c>
      <c r="F49" s="30">
        <v>35</v>
      </c>
      <c r="G49" s="30">
        <v>5.2</v>
      </c>
      <c r="H49" s="15">
        <v>17697</v>
      </c>
      <c r="I49" s="15">
        <f t="shared" si="15"/>
        <v>92024.400000000009</v>
      </c>
      <c r="J49" s="30">
        <f t="shared" si="16"/>
        <v>138036.6</v>
      </c>
      <c r="K49" s="15">
        <v>1</v>
      </c>
      <c r="L49" s="51">
        <f t="shared" si="27"/>
        <v>5751.5250000000005</v>
      </c>
      <c r="M49" s="30"/>
      <c r="N49" s="15"/>
      <c r="O49" s="38"/>
      <c r="P49" s="30">
        <f t="shared" si="17"/>
        <v>0</v>
      </c>
      <c r="Q49" s="15">
        <f t="shared" si="18"/>
        <v>0</v>
      </c>
      <c r="R49" s="15">
        <f t="shared" si="19"/>
        <v>0</v>
      </c>
      <c r="S49" s="17">
        <f t="shared" si="20"/>
        <v>1437.8812500000001</v>
      </c>
      <c r="T49" s="18">
        <f t="shared" si="21"/>
        <v>718.94062500000018</v>
      </c>
      <c r="U49" s="15"/>
      <c r="V49" s="15"/>
      <c r="W49" s="15"/>
      <c r="X49" s="15"/>
      <c r="Y49" s="15"/>
      <c r="Z49" s="15"/>
      <c r="AA49" s="15"/>
      <c r="AB49" s="30"/>
      <c r="AC49" s="15"/>
      <c r="AD49" s="15"/>
      <c r="AE49" s="15"/>
      <c r="AF49" s="15"/>
      <c r="AG49" s="15"/>
      <c r="AH49" s="15"/>
      <c r="AI49" s="15"/>
      <c r="AJ49" s="15"/>
      <c r="AK49" s="15"/>
      <c r="AL49" s="15"/>
      <c r="AM49" s="50"/>
      <c r="AN49" s="15"/>
      <c r="AO49" s="15"/>
      <c r="AP49" s="18">
        <f t="shared" si="22"/>
        <v>0</v>
      </c>
      <c r="AQ49" s="15">
        <f t="shared" si="23"/>
        <v>7908.3468750000011</v>
      </c>
      <c r="AR49" s="15">
        <f t="shared" si="24"/>
        <v>7908.3468750000011</v>
      </c>
      <c r="AS49" s="1">
        <f t="shared" si="25"/>
        <v>23006.100000000002</v>
      </c>
      <c r="AT49" s="1">
        <f t="shared" si="26"/>
        <v>115030.50000000001</v>
      </c>
      <c r="AU49" s="1">
        <f>AT49/18*0*30%</f>
        <v>0</v>
      </c>
    </row>
    <row r="50" spans="1:47" x14ac:dyDescent="0.2">
      <c r="A50" s="15">
        <v>4</v>
      </c>
      <c r="B50" s="31" t="s">
        <v>78</v>
      </c>
      <c r="C50" s="16" t="s">
        <v>68</v>
      </c>
      <c r="D50" s="31" t="s">
        <v>73</v>
      </c>
      <c r="E50" s="1" t="s">
        <v>81</v>
      </c>
      <c r="F50" s="30">
        <v>12</v>
      </c>
      <c r="G50" s="30">
        <v>4.8600000000000003</v>
      </c>
      <c r="H50" s="15">
        <v>17697</v>
      </c>
      <c r="I50" s="15">
        <f t="shared" si="15"/>
        <v>86007.420000000013</v>
      </c>
      <c r="J50" s="30">
        <f t="shared" si="16"/>
        <v>129011.13000000002</v>
      </c>
      <c r="K50" s="30">
        <v>2.5</v>
      </c>
      <c r="L50" s="51">
        <f t="shared" si="27"/>
        <v>13438.659375000003</v>
      </c>
      <c r="M50" s="30">
        <v>0</v>
      </c>
      <c r="N50" s="30">
        <v>0</v>
      </c>
      <c r="O50" s="38">
        <v>0</v>
      </c>
      <c r="P50" s="30">
        <f t="shared" si="17"/>
        <v>0</v>
      </c>
      <c r="Q50" s="15">
        <f t="shared" si="18"/>
        <v>0</v>
      </c>
      <c r="R50" s="15">
        <f t="shared" si="19"/>
        <v>0</v>
      </c>
      <c r="S50" s="17">
        <f t="shared" si="20"/>
        <v>3359.6648437500007</v>
      </c>
      <c r="T50" s="18">
        <f t="shared" si="21"/>
        <v>1679.8324218750004</v>
      </c>
      <c r="U50" s="30"/>
      <c r="V50" s="30"/>
      <c r="W50" s="30"/>
      <c r="X50" s="30"/>
      <c r="Y50" s="30"/>
      <c r="Z50" s="30"/>
      <c r="AA50" s="30"/>
      <c r="AB50" s="30"/>
      <c r="AC50" s="30"/>
      <c r="AD50" s="30"/>
      <c r="AE50" s="30"/>
      <c r="AF50" s="30"/>
      <c r="AG50" s="30"/>
      <c r="AH50" s="30"/>
      <c r="AI50" s="30"/>
      <c r="AJ50" s="30"/>
      <c r="AK50" s="30"/>
      <c r="AL50" s="30"/>
      <c r="AM50" s="50">
        <v>0</v>
      </c>
      <c r="AN50" s="30"/>
      <c r="AO50" s="30"/>
      <c r="AP50" s="18">
        <f t="shared" si="22"/>
        <v>0</v>
      </c>
      <c r="AQ50" s="15">
        <f t="shared" si="23"/>
        <v>18478.156640625006</v>
      </c>
      <c r="AR50" s="15">
        <f t="shared" si="24"/>
        <v>18478.156640625006</v>
      </c>
      <c r="AS50" s="1">
        <f t="shared" si="25"/>
        <v>21501.855000000003</v>
      </c>
      <c r="AT50" s="1">
        <f t="shared" si="26"/>
        <v>107509.27500000002</v>
      </c>
      <c r="AU50" s="1">
        <f>AT50/18*0*30%</f>
        <v>0</v>
      </c>
    </row>
    <row r="51" spans="1:47" ht="15.75" x14ac:dyDescent="0.25">
      <c r="A51" s="1"/>
      <c r="B51" s="12"/>
      <c r="C51" s="11"/>
      <c r="D51" s="11"/>
      <c r="E51" s="1"/>
      <c r="F51" s="1"/>
      <c r="G51" s="1"/>
      <c r="H51" s="1"/>
      <c r="I51" s="1" t="s">
        <v>58</v>
      </c>
      <c r="J51" s="1"/>
      <c r="K51" s="6">
        <f t="shared" ref="K51:AK51" si="28">SUM(K47:K50)</f>
        <v>28.5</v>
      </c>
      <c r="L51" s="6">
        <f t="shared" si="28"/>
        <v>144020.39812499998</v>
      </c>
      <c r="M51" s="6">
        <f t="shared" si="28"/>
        <v>0</v>
      </c>
      <c r="N51" s="6">
        <f t="shared" si="28"/>
        <v>0</v>
      </c>
      <c r="O51" s="6">
        <f t="shared" si="28"/>
        <v>0</v>
      </c>
      <c r="P51" s="6">
        <f t="shared" si="28"/>
        <v>0</v>
      </c>
      <c r="Q51" s="6">
        <f t="shared" si="28"/>
        <v>0</v>
      </c>
      <c r="R51" s="6">
        <f t="shared" si="28"/>
        <v>0</v>
      </c>
      <c r="S51" s="6">
        <f t="shared" si="28"/>
        <v>36005.099531249994</v>
      </c>
      <c r="T51" s="6">
        <f t="shared" si="28"/>
        <v>18002.549765625001</v>
      </c>
      <c r="U51" s="6">
        <f t="shared" si="28"/>
        <v>0</v>
      </c>
      <c r="V51" s="6">
        <f t="shared" si="28"/>
        <v>0</v>
      </c>
      <c r="W51" s="6">
        <f t="shared" si="28"/>
        <v>0</v>
      </c>
      <c r="X51" s="6">
        <f t="shared" si="28"/>
        <v>0</v>
      </c>
      <c r="Y51" s="6">
        <f t="shared" si="28"/>
        <v>0</v>
      </c>
      <c r="Z51" s="6">
        <f t="shared" si="28"/>
        <v>0</v>
      </c>
      <c r="AA51" s="6">
        <f t="shared" si="28"/>
        <v>0</v>
      </c>
      <c r="AB51" s="6">
        <f t="shared" si="28"/>
        <v>0</v>
      </c>
      <c r="AC51" s="6">
        <f t="shared" si="28"/>
        <v>0</v>
      </c>
      <c r="AD51" s="6">
        <f t="shared" si="28"/>
        <v>0</v>
      </c>
      <c r="AE51" s="6">
        <f t="shared" si="28"/>
        <v>0</v>
      </c>
      <c r="AF51" s="6">
        <f t="shared" si="28"/>
        <v>59993</v>
      </c>
      <c r="AG51" s="6">
        <f t="shared" si="28"/>
        <v>0</v>
      </c>
      <c r="AH51" s="6">
        <f t="shared" si="28"/>
        <v>0</v>
      </c>
      <c r="AI51" s="6">
        <f t="shared" si="28"/>
        <v>0</v>
      </c>
      <c r="AJ51" s="6">
        <f t="shared" si="28"/>
        <v>0</v>
      </c>
      <c r="AK51" s="6">
        <f t="shared" si="28"/>
        <v>0</v>
      </c>
      <c r="AL51" s="6"/>
      <c r="AM51" s="6">
        <f t="shared" ref="AM51:AR51" si="29">SUM(AM47:AM50)</f>
        <v>0</v>
      </c>
      <c r="AN51" s="6">
        <f t="shared" si="29"/>
        <v>0</v>
      </c>
      <c r="AO51" s="6">
        <f t="shared" si="29"/>
        <v>0</v>
      </c>
      <c r="AP51" s="6">
        <f t="shared" si="29"/>
        <v>59993</v>
      </c>
      <c r="AQ51" s="6">
        <f t="shared" si="29"/>
        <v>258021.04742187497</v>
      </c>
      <c r="AR51" s="6">
        <f t="shared" si="29"/>
        <v>198028.04742187497</v>
      </c>
    </row>
    <row r="53" spans="1:47" x14ac:dyDescent="0.2">
      <c r="C53" s="9"/>
      <c r="D53" s="9"/>
      <c r="K53" s="9"/>
    </row>
    <row r="54" spans="1:47" x14ac:dyDescent="0.2">
      <c r="C54" s="9"/>
      <c r="D54" s="9"/>
    </row>
    <row r="56" spans="1:47" x14ac:dyDescent="0.2">
      <c r="B56" s="9" t="s">
        <v>90</v>
      </c>
      <c r="C56" s="9"/>
      <c r="D56" s="9"/>
      <c r="K56" s="9" t="s">
        <v>86</v>
      </c>
    </row>
    <row r="57" spans="1:47" x14ac:dyDescent="0.2">
      <c r="B57" s="61" t="s">
        <v>162</v>
      </c>
      <c r="C57" s="61"/>
      <c r="D57" s="61"/>
      <c r="K57" s="9" t="s">
        <v>89</v>
      </c>
    </row>
  </sheetData>
  <mergeCells count="105">
    <mergeCell ref="AQ41:AQ46"/>
    <mergeCell ref="AR41:AR46"/>
    <mergeCell ref="T41:T46"/>
    <mergeCell ref="U41:Z41"/>
    <mergeCell ref="AA41:AB41"/>
    <mergeCell ref="AC41:AC46"/>
    <mergeCell ref="AD41:AD46"/>
    <mergeCell ref="AE41:AH41"/>
    <mergeCell ref="U44:U46"/>
    <mergeCell ref="V44:V46"/>
    <mergeCell ref="W44:W46"/>
    <mergeCell ref="X44:X46"/>
    <mergeCell ref="AI41:AK41"/>
    <mergeCell ref="AM41:AM46"/>
    <mergeCell ref="AA42:AB43"/>
    <mergeCell ref="AE42:AE46"/>
    <mergeCell ref="AF42:AF46"/>
    <mergeCell ref="AG42:AG46"/>
    <mergeCell ref="AJ42:AJ46"/>
    <mergeCell ref="AK42:AK46"/>
    <mergeCell ref="AN42:AN46"/>
    <mergeCell ref="AO42:AO46"/>
    <mergeCell ref="U42:W43"/>
    <mergeCell ref="X42:Z43"/>
    <mergeCell ref="M41:O41"/>
    <mergeCell ref="P41:R41"/>
    <mergeCell ref="S41:S46"/>
    <mergeCell ref="K42:K46"/>
    <mergeCell ref="L42:L46"/>
    <mergeCell ref="M42:M46"/>
    <mergeCell ref="N42:N46"/>
    <mergeCell ref="AN41:AO41"/>
    <mergeCell ref="AP41:AP46"/>
    <mergeCell ref="O42:O46"/>
    <mergeCell ref="P42:P46"/>
    <mergeCell ref="Q42:Q46"/>
    <mergeCell ref="R42:R46"/>
    <mergeCell ref="Y44:Y46"/>
    <mergeCell ref="Z44:Z46"/>
    <mergeCell ref="AA45:AA46"/>
    <mergeCell ref="AB45:AB46"/>
    <mergeCell ref="AH42:AH46"/>
    <mergeCell ref="AI42:AI46"/>
    <mergeCell ref="AM11:AM16"/>
    <mergeCell ref="AN11:AO11"/>
    <mergeCell ref="AP11:AP16"/>
    <mergeCell ref="AQ11:AQ16"/>
    <mergeCell ref="AR11:AR16"/>
    <mergeCell ref="O12:O16"/>
    <mergeCell ref="P12:P16"/>
    <mergeCell ref="Q12:Q16"/>
    <mergeCell ref="R12:R16"/>
    <mergeCell ref="U12:W13"/>
    <mergeCell ref="X12:Z13"/>
    <mergeCell ref="U14:U16"/>
    <mergeCell ref="V14:V16"/>
    <mergeCell ref="W14:W16"/>
    <mergeCell ref="X14:X16"/>
    <mergeCell ref="AH12:AH16"/>
    <mergeCell ref="AI12:AI16"/>
    <mergeCell ref="AJ12:AJ16"/>
    <mergeCell ref="AK12:AK16"/>
    <mergeCell ref="AN12:AN16"/>
    <mergeCell ref="AO12:AO16"/>
    <mergeCell ref="Y14:Y16"/>
    <mergeCell ref="Z14:Z16"/>
    <mergeCell ref="AA15:AA16"/>
    <mergeCell ref="AA11:AB11"/>
    <mergeCell ref="AC11:AC16"/>
    <mergeCell ref="AD11:AD16"/>
    <mergeCell ref="AE11:AH11"/>
    <mergeCell ref="AA12:AB13"/>
    <mergeCell ref="AE12:AE16"/>
    <mergeCell ref="AF12:AF16"/>
    <mergeCell ref="AG12:AG16"/>
    <mergeCell ref="AI11:AK11"/>
    <mergeCell ref="AB15:AB16"/>
    <mergeCell ref="M11:O11"/>
    <mergeCell ref="P11:R11"/>
    <mergeCell ref="S11:S16"/>
    <mergeCell ref="K12:K16"/>
    <mergeCell ref="L12:L16"/>
    <mergeCell ref="M12:M16"/>
    <mergeCell ref="N12:N16"/>
    <mergeCell ref="T11:T16"/>
    <mergeCell ref="U11:Z11"/>
    <mergeCell ref="J41:J46"/>
    <mergeCell ref="A11:A16"/>
    <mergeCell ref="B11:B16"/>
    <mergeCell ref="C11:C16"/>
    <mergeCell ref="D11:D16"/>
    <mergeCell ref="E11:E16"/>
    <mergeCell ref="F11:F16"/>
    <mergeCell ref="G11:G16"/>
    <mergeCell ref="H11:H16"/>
    <mergeCell ref="I11:I16"/>
    <mergeCell ref="A41:A46"/>
    <mergeCell ref="B41:B46"/>
    <mergeCell ref="C41:C46"/>
    <mergeCell ref="D41:D46"/>
    <mergeCell ref="E41:E46"/>
    <mergeCell ref="F41:F46"/>
    <mergeCell ref="G41:G46"/>
    <mergeCell ref="H41:H46"/>
    <mergeCell ref="I41:I46"/>
  </mergeCells>
  <pageMargins left="0.19685039370078741" right="0.19685039370078741" top="0.19685039370078741" bottom="0.19685039370078741" header="0.31496062992125984" footer="0.31496062992125984"/>
  <pageSetup paperSize="9" scale="68" orientation="landscape" r:id="rId1"/>
  <colBreaks count="2" manualBreakCount="2">
    <brk id="26" max="61" man="1"/>
    <brk id="44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FF0000"/>
  </sheetPr>
  <dimension ref="A2:AX85"/>
  <sheetViews>
    <sheetView tabSelected="1" view="pageBreakPreview" topLeftCell="A22" zoomScale="90" zoomScaleSheetLayoutView="90" workbookViewId="0">
      <selection activeCell="AW44" sqref="AW44"/>
    </sheetView>
  </sheetViews>
  <sheetFormatPr defaultColWidth="9.140625" defaultRowHeight="12.75" x14ac:dyDescent="0.2"/>
  <cols>
    <col min="1" max="1" width="4.5703125" style="130" customWidth="1"/>
    <col min="2" max="2" width="18.28515625" style="130" customWidth="1"/>
    <col min="3" max="3" width="9.140625" style="130"/>
    <col min="4" max="4" width="9.42578125" style="130" customWidth="1"/>
    <col min="5" max="5" width="8" style="130" customWidth="1"/>
    <col min="6" max="6" width="6.85546875" style="130" customWidth="1"/>
    <col min="7" max="7" width="6.140625" style="130" customWidth="1"/>
    <col min="8" max="8" width="7.28515625" style="130" customWidth="1"/>
    <col min="9" max="9" width="8.85546875" style="130" customWidth="1"/>
    <col min="10" max="10" width="9.42578125" style="130" customWidth="1"/>
    <col min="11" max="12" width="9.140625" style="130" customWidth="1"/>
    <col min="13" max="13" width="6.7109375" style="130" customWidth="1"/>
    <col min="14" max="14" width="6.140625" style="130" customWidth="1"/>
    <col min="15" max="15" width="6.42578125" style="130" customWidth="1"/>
    <col min="16" max="16" width="10" style="130" customWidth="1"/>
    <col min="17" max="17" width="9.5703125" style="130" customWidth="1"/>
    <col min="18" max="18" width="7.42578125" style="130" customWidth="1"/>
    <col min="19" max="19" width="9.7109375" style="130" customWidth="1"/>
    <col min="20" max="20" width="10.85546875" style="130" customWidth="1"/>
    <col min="21" max="21" width="4.5703125" style="130" customWidth="1"/>
    <col min="22" max="22" width="5.7109375" style="130" customWidth="1"/>
    <col min="23" max="23" width="6.7109375" style="130" customWidth="1"/>
    <col min="24" max="24" width="7.140625" style="130" customWidth="1"/>
    <col min="25" max="25" width="6.7109375" style="130" customWidth="1"/>
    <col min="26" max="26" width="8" style="130" customWidth="1"/>
    <col min="27" max="27" width="4.7109375" style="130" customWidth="1"/>
    <col min="28" max="28" width="5.5703125" style="130" customWidth="1"/>
    <col min="29" max="29" width="6.140625" style="130" customWidth="1"/>
    <col min="30" max="30" width="5.5703125" style="130" customWidth="1"/>
    <col min="31" max="31" width="6.42578125" style="130" customWidth="1"/>
    <col min="32" max="32" width="6.7109375" style="130" customWidth="1"/>
    <col min="33" max="33" width="6.28515625" style="130" customWidth="1"/>
    <col min="34" max="34" width="8.28515625" style="130" customWidth="1"/>
    <col min="35" max="35" width="8.140625" style="130" customWidth="1"/>
    <col min="36" max="36" width="8.42578125" style="130" customWidth="1"/>
    <col min="37" max="37" width="6.85546875" style="130" customWidth="1"/>
    <col min="38" max="38" width="4.5703125" style="130" customWidth="1"/>
    <col min="39" max="39" width="7.5703125" style="130" customWidth="1"/>
    <col min="40" max="40" width="8.28515625" style="130" customWidth="1"/>
    <col min="41" max="41" width="7.85546875" style="130" customWidth="1"/>
    <col min="42" max="42" width="9" style="130" customWidth="1"/>
    <col min="43" max="46" width="9.140625" style="130"/>
    <col min="47" max="47" width="10.42578125" style="130" bestFit="1" customWidth="1"/>
    <col min="48" max="16384" width="9.140625" style="130"/>
  </cols>
  <sheetData>
    <row r="2" spans="1:47" x14ac:dyDescent="0.2">
      <c r="N2" s="20" t="s">
        <v>223</v>
      </c>
      <c r="O2" s="21"/>
      <c r="P2" s="21"/>
      <c r="Q2" s="22" t="s">
        <v>44</v>
      </c>
      <c r="R2" s="23" t="s">
        <v>45</v>
      </c>
      <c r="S2" s="23" t="s">
        <v>46</v>
      </c>
      <c r="T2" s="23" t="s">
        <v>47</v>
      </c>
    </row>
    <row r="3" spans="1:47" x14ac:dyDescent="0.2">
      <c r="B3" s="9" t="s">
        <v>87</v>
      </c>
      <c r="C3" s="9"/>
      <c r="D3" s="9"/>
      <c r="E3" s="9"/>
      <c r="F3" s="9"/>
      <c r="G3" s="9"/>
      <c r="M3" s="131"/>
      <c r="N3" s="20" t="s">
        <v>48</v>
      </c>
      <c r="O3" s="24"/>
      <c r="P3" s="24"/>
      <c r="Q3" s="23">
        <v>4</v>
      </c>
      <c r="R3" s="23">
        <v>5</v>
      </c>
      <c r="S3" s="23">
        <v>2</v>
      </c>
      <c r="T3" s="25">
        <f>Q3+R3+S3</f>
        <v>11</v>
      </c>
    </row>
    <row r="4" spans="1:47" x14ac:dyDescent="0.2">
      <c r="B4" s="9" t="s">
        <v>88</v>
      </c>
      <c r="C4" s="9"/>
      <c r="D4" s="9"/>
      <c r="E4" s="9"/>
      <c r="F4" s="9"/>
      <c r="G4" s="9"/>
      <c r="M4" s="131"/>
      <c r="N4" s="26" t="s">
        <v>49</v>
      </c>
      <c r="O4" s="27"/>
      <c r="P4" s="27"/>
      <c r="Q4" s="23">
        <v>4</v>
      </c>
      <c r="R4" s="23">
        <v>5</v>
      </c>
      <c r="S4" s="23">
        <v>2</v>
      </c>
      <c r="T4" s="25">
        <f>Q4+R4+S4</f>
        <v>11</v>
      </c>
    </row>
    <row r="5" spans="1:47" x14ac:dyDescent="0.2">
      <c r="M5" s="131"/>
      <c r="N5" s="132" t="s">
        <v>59</v>
      </c>
      <c r="O5" s="133"/>
      <c r="P5" s="134"/>
      <c r="Q5" s="214">
        <v>35</v>
      </c>
      <c r="R5" s="140">
        <v>48</v>
      </c>
      <c r="S5" s="140">
        <v>7</v>
      </c>
      <c r="T5" s="25">
        <f>Q5+R5+S5</f>
        <v>90</v>
      </c>
    </row>
    <row r="6" spans="1:47" x14ac:dyDescent="0.2">
      <c r="M6" s="135"/>
      <c r="N6" s="136" t="s">
        <v>50</v>
      </c>
      <c r="O6" s="137"/>
      <c r="P6" s="137"/>
      <c r="Q6" s="79">
        <v>97.5</v>
      </c>
      <c r="R6" s="79">
        <v>157</v>
      </c>
      <c r="S6" s="79">
        <v>58</v>
      </c>
      <c r="T6" s="25">
        <f>Q6+R6+S6</f>
        <v>312.5</v>
      </c>
      <c r="U6" s="138"/>
      <c r="V6" s="138"/>
      <c r="AK6" s="138"/>
      <c r="AL6" s="138"/>
      <c r="AM6" s="138"/>
      <c r="AN6" s="138"/>
      <c r="AO6" s="138"/>
      <c r="AP6" s="138"/>
      <c r="AQ6" s="138"/>
    </row>
    <row r="7" spans="1:47" x14ac:dyDescent="0.2">
      <c r="M7" s="131"/>
      <c r="N7" s="20" t="s">
        <v>51</v>
      </c>
      <c r="O7" s="24"/>
      <c r="P7" s="24"/>
      <c r="Q7" s="41">
        <f>Q6+Q8</f>
        <v>100.5</v>
      </c>
      <c r="R7" s="41">
        <f t="shared" ref="R7:S7" si="0">R6+R8</f>
        <v>167</v>
      </c>
      <c r="S7" s="41">
        <f t="shared" si="0"/>
        <v>74</v>
      </c>
      <c r="T7" s="25">
        <f>Q7+R7+S7</f>
        <v>341.5</v>
      </c>
    </row>
    <row r="8" spans="1:47" x14ac:dyDescent="0.2">
      <c r="M8" s="131"/>
      <c r="N8" s="26" t="s">
        <v>52</v>
      </c>
      <c r="O8" s="27"/>
      <c r="P8" s="27"/>
      <c r="Q8" s="42">
        <v>3</v>
      </c>
      <c r="R8" s="42">
        <v>10</v>
      </c>
      <c r="S8" s="42">
        <v>16</v>
      </c>
      <c r="T8" s="25"/>
      <c r="AK8" s="139"/>
    </row>
    <row r="9" spans="1:47" x14ac:dyDescent="0.2">
      <c r="E9" s="9" t="s">
        <v>224</v>
      </c>
      <c r="F9" s="9"/>
      <c r="G9" s="9"/>
      <c r="H9" s="9"/>
      <c r="I9" s="9"/>
      <c r="J9" s="9"/>
      <c r="M9" s="36"/>
      <c r="N9" s="20" t="s">
        <v>53</v>
      </c>
      <c r="O9" s="28"/>
      <c r="P9" s="29"/>
      <c r="Q9" s="43">
        <v>0</v>
      </c>
      <c r="R9" s="23"/>
      <c r="S9" s="23"/>
      <c r="T9" s="25"/>
    </row>
    <row r="10" spans="1:47" x14ac:dyDescent="0.2">
      <c r="I10" s="9" t="s">
        <v>110</v>
      </c>
      <c r="J10" s="9"/>
      <c r="K10" s="9"/>
      <c r="L10" s="9"/>
      <c r="M10" s="131"/>
      <c r="N10" s="57"/>
      <c r="O10" s="57" t="s">
        <v>54</v>
      </c>
      <c r="P10" s="57"/>
      <c r="Q10" s="23">
        <v>24</v>
      </c>
      <c r="R10" s="140"/>
      <c r="S10" s="140"/>
      <c r="T10" s="25">
        <f>Q10+R10+S10</f>
        <v>24</v>
      </c>
    </row>
    <row r="11" spans="1:47" ht="13.5" thickBot="1" x14ac:dyDescent="0.25">
      <c r="B11" s="130" t="s">
        <v>157</v>
      </c>
      <c r="M11" s="131"/>
      <c r="O11" s="141"/>
      <c r="R11" s="130" t="s">
        <v>130</v>
      </c>
    </row>
    <row r="12" spans="1:47" ht="47.25" customHeight="1" x14ac:dyDescent="0.2">
      <c r="A12" s="381" t="s">
        <v>18</v>
      </c>
      <c r="B12" s="372" t="s">
        <v>19</v>
      </c>
      <c r="C12" s="375" t="s">
        <v>20</v>
      </c>
      <c r="D12" s="376" t="s">
        <v>21</v>
      </c>
      <c r="E12" s="375" t="s">
        <v>22</v>
      </c>
      <c r="F12" s="375" t="s">
        <v>23</v>
      </c>
      <c r="G12" s="375" t="s">
        <v>24</v>
      </c>
      <c r="H12" s="375" t="s">
        <v>55</v>
      </c>
      <c r="I12" s="375" t="s">
        <v>25</v>
      </c>
      <c r="J12" s="415" t="s">
        <v>209</v>
      </c>
      <c r="K12" s="13" t="s">
        <v>26</v>
      </c>
      <c r="L12" s="13" t="s">
        <v>27</v>
      </c>
      <c r="M12" s="383" t="s">
        <v>28</v>
      </c>
      <c r="N12" s="384"/>
      <c r="O12" s="385"/>
      <c r="P12" s="386" t="s">
        <v>27</v>
      </c>
      <c r="Q12" s="387"/>
      <c r="R12" s="387"/>
      <c r="S12" s="418">
        <v>0.25</v>
      </c>
      <c r="T12" s="394" t="s">
        <v>30</v>
      </c>
      <c r="U12" s="422" t="s">
        <v>219</v>
      </c>
      <c r="V12" s="423"/>
      <c r="W12" s="423"/>
      <c r="X12" s="423"/>
      <c r="Y12" s="423"/>
      <c r="Z12" s="424"/>
      <c r="AA12" s="427" t="s">
        <v>160</v>
      </c>
      <c r="AB12" s="422" t="s">
        <v>220</v>
      </c>
      <c r="AC12" s="423"/>
      <c r="AD12" s="423"/>
      <c r="AE12" s="423"/>
      <c r="AF12" s="423"/>
      <c r="AG12" s="424"/>
      <c r="AH12" s="344" t="s">
        <v>4</v>
      </c>
      <c r="AI12" s="344"/>
      <c r="AJ12" s="345" t="s">
        <v>3</v>
      </c>
      <c r="AK12" s="345" t="s">
        <v>43</v>
      </c>
      <c r="AL12" s="344" t="s">
        <v>11</v>
      </c>
      <c r="AM12" s="344"/>
      <c r="AN12" s="344"/>
      <c r="AO12" s="344"/>
      <c r="AP12" s="429" t="s">
        <v>211</v>
      </c>
      <c r="AQ12" s="351" t="s">
        <v>12</v>
      </c>
      <c r="AR12" s="344" t="s">
        <v>16</v>
      </c>
      <c r="AS12" s="344"/>
      <c r="AT12" s="366" t="s">
        <v>14</v>
      </c>
      <c r="AU12" s="337" t="s">
        <v>31</v>
      </c>
    </row>
    <row r="13" spans="1:47" ht="15.75" customHeight="1" x14ac:dyDescent="0.2">
      <c r="A13" s="382"/>
      <c r="B13" s="373"/>
      <c r="C13" s="364"/>
      <c r="D13" s="377"/>
      <c r="E13" s="364"/>
      <c r="F13" s="364"/>
      <c r="G13" s="364"/>
      <c r="H13" s="413"/>
      <c r="I13" s="364"/>
      <c r="J13" s="416"/>
      <c r="K13" s="341" t="s">
        <v>33</v>
      </c>
      <c r="L13" s="341" t="s">
        <v>33</v>
      </c>
      <c r="M13" s="392" t="s">
        <v>0</v>
      </c>
      <c r="N13" s="341" t="s">
        <v>1</v>
      </c>
      <c r="O13" s="397" t="s">
        <v>2</v>
      </c>
      <c r="P13" s="360" t="s">
        <v>0</v>
      </c>
      <c r="Q13" s="341" t="s">
        <v>1</v>
      </c>
      <c r="R13" s="399" t="s">
        <v>2</v>
      </c>
      <c r="S13" s="419"/>
      <c r="T13" s="395"/>
      <c r="U13" s="401" t="s">
        <v>34</v>
      </c>
      <c r="V13" s="402"/>
      <c r="W13" s="403"/>
      <c r="X13" s="407" t="s">
        <v>35</v>
      </c>
      <c r="Y13" s="408"/>
      <c r="Z13" s="409"/>
      <c r="AA13" s="342"/>
      <c r="AB13" s="401" t="s">
        <v>34</v>
      </c>
      <c r="AC13" s="402"/>
      <c r="AD13" s="403"/>
      <c r="AE13" s="407" t="s">
        <v>35</v>
      </c>
      <c r="AF13" s="408"/>
      <c r="AG13" s="409"/>
      <c r="AH13" s="354" t="s">
        <v>17</v>
      </c>
      <c r="AI13" s="355"/>
      <c r="AJ13" s="346"/>
      <c r="AK13" s="425"/>
      <c r="AL13" s="358" t="s">
        <v>10</v>
      </c>
      <c r="AM13" s="346" t="s">
        <v>9</v>
      </c>
      <c r="AN13" s="360" t="s">
        <v>8</v>
      </c>
      <c r="AO13" s="360" t="s">
        <v>7</v>
      </c>
      <c r="AP13" s="364"/>
      <c r="AQ13" s="352"/>
      <c r="AR13" s="358" t="s">
        <v>13</v>
      </c>
      <c r="AS13" s="358" t="s">
        <v>15</v>
      </c>
      <c r="AT13" s="367"/>
      <c r="AU13" s="338"/>
    </row>
    <row r="14" spans="1:47" ht="15.75" customHeight="1" x14ac:dyDescent="0.2">
      <c r="A14" s="382"/>
      <c r="B14" s="373"/>
      <c r="C14" s="364"/>
      <c r="D14" s="377"/>
      <c r="E14" s="364"/>
      <c r="F14" s="364"/>
      <c r="G14" s="364"/>
      <c r="H14" s="413"/>
      <c r="I14" s="364"/>
      <c r="J14" s="416"/>
      <c r="K14" s="342"/>
      <c r="L14" s="342"/>
      <c r="M14" s="393"/>
      <c r="N14" s="342"/>
      <c r="O14" s="398"/>
      <c r="P14" s="361"/>
      <c r="Q14" s="342"/>
      <c r="R14" s="400"/>
      <c r="S14" s="419"/>
      <c r="T14" s="395"/>
      <c r="U14" s="404"/>
      <c r="V14" s="405"/>
      <c r="W14" s="406"/>
      <c r="X14" s="410"/>
      <c r="Y14" s="411"/>
      <c r="Z14" s="412"/>
      <c r="AA14" s="342"/>
      <c r="AB14" s="404"/>
      <c r="AC14" s="405"/>
      <c r="AD14" s="406"/>
      <c r="AE14" s="410"/>
      <c r="AF14" s="411"/>
      <c r="AG14" s="412"/>
      <c r="AH14" s="356"/>
      <c r="AI14" s="357"/>
      <c r="AJ14" s="346"/>
      <c r="AK14" s="425"/>
      <c r="AL14" s="359"/>
      <c r="AM14" s="346"/>
      <c r="AN14" s="361"/>
      <c r="AO14" s="361"/>
      <c r="AP14" s="364"/>
      <c r="AQ14" s="352"/>
      <c r="AR14" s="359"/>
      <c r="AS14" s="359"/>
      <c r="AT14" s="367"/>
      <c r="AU14" s="338"/>
    </row>
    <row r="15" spans="1:47" x14ac:dyDescent="0.2">
      <c r="A15" s="382"/>
      <c r="B15" s="373"/>
      <c r="C15" s="364"/>
      <c r="D15" s="377"/>
      <c r="E15" s="364"/>
      <c r="F15" s="364"/>
      <c r="G15" s="364"/>
      <c r="H15" s="413"/>
      <c r="I15" s="364"/>
      <c r="J15" s="416"/>
      <c r="K15" s="342"/>
      <c r="L15" s="342"/>
      <c r="M15" s="393"/>
      <c r="N15" s="342"/>
      <c r="O15" s="398"/>
      <c r="P15" s="361"/>
      <c r="Q15" s="342"/>
      <c r="R15" s="400"/>
      <c r="S15" s="420"/>
      <c r="T15" s="395"/>
      <c r="U15" s="341" t="s">
        <v>0</v>
      </c>
      <c r="V15" s="341" t="s">
        <v>1</v>
      </c>
      <c r="W15" s="341" t="s">
        <v>2</v>
      </c>
      <c r="X15" s="360" t="s">
        <v>0</v>
      </c>
      <c r="Y15" s="360" t="s">
        <v>1</v>
      </c>
      <c r="Z15" s="360" t="s">
        <v>2</v>
      </c>
      <c r="AA15" s="342"/>
      <c r="AB15" s="341" t="s">
        <v>0</v>
      </c>
      <c r="AC15" s="341" t="s">
        <v>1</v>
      </c>
      <c r="AD15" s="341" t="s">
        <v>2</v>
      </c>
      <c r="AE15" s="360" t="s">
        <v>0</v>
      </c>
      <c r="AF15" s="360" t="s">
        <v>1</v>
      </c>
      <c r="AG15" s="360" t="s">
        <v>2</v>
      </c>
      <c r="AH15" s="14"/>
      <c r="AI15" s="14"/>
      <c r="AJ15" s="346"/>
      <c r="AK15" s="425"/>
      <c r="AL15" s="359"/>
      <c r="AM15" s="346"/>
      <c r="AN15" s="361"/>
      <c r="AO15" s="361"/>
      <c r="AP15" s="364"/>
      <c r="AQ15" s="352"/>
      <c r="AR15" s="359"/>
      <c r="AS15" s="359"/>
      <c r="AT15" s="367"/>
      <c r="AU15" s="338"/>
    </row>
    <row r="16" spans="1:47" ht="15.75" customHeight="1" x14ac:dyDescent="0.2">
      <c r="A16" s="382"/>
      <c r="B16" s="373"/>
      <c r="C16" s="364"/>
      <c r="D16" s="377"/>
      <c r="E16" s="364"/>
      <c r="F16" s="364"/>
      <c r="G16" s="364"/>
      <c r="H16" s="413"/>
      <c r="I16" s="364"/>
      <c r="J16" s="416"/>
      <c r="K16" s="342"/>
      <c r="L16" s="342"/>
      <c r="M16" s="393"/>
      <c r="N16" s="342"/>
      <c r="O16" s="398"/>
      <c r="P16" s="361"/>
      <c r="Q16" s="342"/>
      <c r="R16" s="400"/>
      <c r="S16" s="420"/>
      <c r="T16" s="395"/>
      <c r="U16" s="342"/>
      <c r="V16" s="342"/>
      <c r="W16" s="342"/>
      <c r="X16" s="361"/>
      <c r="Y16" s="361"/>
      <c r="Z16" s="361"/>
      <c r="AA16" s="342"/>
      <c r="AB16" s="342"/>
      <c r="AC16" s="342"/>
      <c r="AD16" s="342"/>
      <c r="AE16" s="361"/>
      <c r="AF16" s="361"/>
      <c r="AG16" s="361"/>
      <c r="AH16" s="362" t="s">
        <v>0</v>
      </c>
      <c r="AI16" s="362" t="s">
        <v>5</v>
      </c>
      <c r="AJ16" s="346"/>
      <c r="AK16" s="425"/>
      <c r="AL16" s="359"/>
      <c r="AM16" s="346"/>
      <c r="AN16" s="361"/>
      <c r="AO16" s="361"/>
      <c r="AP16" s="364"/>
      <c r="AQ16" s="352"/>
      <c r="AR16" s="359"/>
      <c r="AS16" s="359"/>
      <c r="AT16" s="367"/>
      <c r="AU16" s="338"/>
    </row>
    <row r="17" spans="1:50" ht="13.5" thickBot="1" x14ac:dyDescent="0.25">
      <c r="A17" s="382"/>
      <c r="B17" s="374"/>
      <c r="C17" s="364"/>
      <c r="D17" s="377"/>
      <c r="E17" s="364"/>
      <c r="F17" s="364"/>
      <c r="G17" s="364"/>
      <c r="H17" s="414"/>
      <c r="I17" s="364"/>
      <c r="J17" s="417"/>
      <c r="K17" s="342"/>
      <c r="L17" s="342"/>
      <c r="M17" s="393"/>
      <c r="N17" s="342"/>
      <c r="O17" s="398"/>
      <c r="P17" s="361"/>
      <c r="Q17" s="342"/>
      <c r="R17" s="400"/>
      <c r="S17" s="421"/>
      <c r="T17" s="395"/>
      <c r="U17" s="342"/>
      <c r="V17" s="342"/>
      <c r="W17" s="342"/>
      <c r="X17" s="361"/>
      <c r="Y17" s="361"/>
      <c r="Z17" s="361"/>
      <c r="AA17" s="428"/>
      <c r="AB17" s="342"/>
      <c r="AC17" s="342"/>
      <c r="AD17" s="342"/>
      <c r="AE17" s="361"/>
      <c r="AF17" s="361"/>
      <c r="AG17" s="361"/>
      <c r="AH17" s="363"/>
      <c r="AI17" s="363"/>
      <c r="AJ17" s="346"/>
      <c r="AK17" s="426"/>
      <c r="AL17" s="359"/>
      <c r="AM17" s="346"/>
      <c r="AN17" s="361"/>
      <c r="AO17" s="361"/>
      <c r="AP17" s="380"/>
      <c r="AQ17" s="353"/>
      <c r="AR17" s="365"/>
      <c r="AS17" s="365"/>
      <c r="AT17" s="368"/>
      <c r="AU17" s="338"/>
    </row>
    <row r="18" spans="1:50" x14ac:dyDescent="0.2">
      <c r="A18" s="57">
        <v>1</v>
      </c>
      <c r="B18" s="31" t="s">
        <v>124</v>
      </c>
      <c r="C18" s="32" t="s">
        <v>60</v>
      </c>
      <c r="D18" s="31" t="s">
        <v>97</v>
      </c>
      <c r="E18" s="56" t="s">
        <v>81</v>
      </c>
      <c r="F18" s="56">
        <v>31</v>
      </c>
      <c r="G18" s="142">
        <v>5.2</v>
      </c>
      <c r="H18" s="57">
        <v>17697</v>
      </c>
      <c r="I18" s="57">
        <f>G18*H18</f>
        <v>92024.400000000009</v>
      </c>
      <c r="J18" s="57">
        <f>I18*1.5</f>
        <v>138036.6</v>
      </c>
      <c r="K18" s="57"/>
      <c r="L18" s="56">
        <f t="shared" ref="L18:L20" si="1">J18/24*K18</f>
        <v>0</v>
      </c>
      <c r="M18" s="56"/>
      <c r="N18" s="56">
        <v>7</v>
      </c>
      <c r="O18" s="143">
        <v>2</v>
      </c>
      <c r="P18" s="57">
        <f>J18/16*M18</f>
        <v>0</v>
      </c>
      <c r="Q18" s="146">
        <f>J18/16*N18</f>
        <v>60391.012500000004</v>
      </c>
      <c r="R18" s="146">
        <f>J18/16*O18</f>
        <v>17254.575000000001</v>
      </c>
      <c r="S18" s="144">
        <f>(L18+P18+Q18+R18)*25%</f>
        <v>19411.396875000002</v>
      </c>
      <c r="T18" s="145">
        <f>(P18+Q18+R18+L18+S18)*10%</f>
        <v>9705.6984375000011</v>
      </c>
      <c r="U18" s="56"/>
      <c r="V18" s="56">
        <v>6</v>
      </c>
      <c r="W18" s="56">
        <v>2</v>
      </c>
      <c r="X18" s="56"/>
      <c r="Y18" s="56">
        <v>1327</v>
      </c>
      <c r="Z18" s="56">
        <v>442</v>
      </c>
      <c r="AA18" s="57">
        <v>1</v>
      </c>
      <c r="AB18" s="56"/>
      <c r="AC18" s="56"/>
      <c r="AD18" s="56"/>
      <c r="AE18" s="56"/>
      <c r="AF18" s="56"/>
      <c r="AG18" s="56"/>
      <c r="AH18" s="56"/>
      <c r="AI18" s="56"/>
      <c r="AJ18" s="56"/>
      <c r="AK18" s="56"/>
      <c r="AL18" s="56"/>
      <c r="AM18" s="56"/>
      <c r="AN18" s="56">
        <f>(P18+Q18+R18+S18)*35%</f>
        <v>33969.944531250003</v>
      </c>
      <c r="AO18" s="56"/>
      <c r="AP18" s="56"/>
      <c r="AQ18" s="48">
        <f>AX18</f>
        <v>29117.095312499998</v>
      </c>
      <c r="AR18" s="57">
        <v>17697</v>
      </c>
      <c r="AS18" s="57"/>
      <c r="AT18" s="145">
        <f t="shared" ref="AT18:AT47" si="2">AM18+AN18+AO18+AQ18</f>
        <v>63087.039843749997</v>
      </c>
      <c r="AU18" s="146">
        <f>P18+Q18+R18+S18+T18+X18+Y18+Z18+AH18+AI18+AJ18+AK18+AL18+AM18+AN18+AO18+AQ18+AR18+AS18+L18+AP18+AG18+AF18+AE18</f>
        <v>189315.72265625003</v>
      </c>
      <c r="AV18">
        <f>J18*25%</f>
        <v>34509.15</v>
      </c>
      <c r="AW18" s="49">
        <f t="shared" ref="AW18:AW47" si="3">AV18+J18</f>
        <v>172545.75</v>
      </c>
      <c r="AX18">
        <f>AW18/16*(M18+N18+O18)*30%</f>
        <v>29117.095312499998</v>
      </c>
    </row>
    <row r="19" spans="1:50" x14ac:dyDescent="0.2">
      <c r="A19" s="57">
        <v>2</v>
      </c>
      <c r="B19" s="32" t="s">
        <v>125</v>
      </c>
      <c r="C19" s="32" t="s">
        <v>60</v>
      </c>
      <c r="D19" s="31" t="s">
        <v>126</v>
      </c>
      <c r="E19" s="56" t="s">
        <v>80</v>
      </c>
      <c r="F19" s="56">
        <v>15</v>
      </c>
      <c r="G19" s="56">
        <v>5.16</v>
      </c>
      <c r="H19" s="56">
        <v>17697</v>
      </c>
      <c r="I19" s="57">
        <f t="shared" ref="I19:I47" si="4">G19*H19</f>
        <v>91316.52</v>
      </c>
      <c r="J19" s="57">
        <f t="shared" ref="J19:J47" si="5">I19*1.5</f>
        <v>136974.78</v>
      </c>
      <c r="K19" s="56"/>
      <c r="L19" s="56">
        <f t="shared" si="1"/>
        <v>0</v>
      </c>
      <c r="M19" s="56"/>
      <c r="N19" s="56">
        <v>6</v>
      </c>
      <c r="O19" s="143">
        <v>3</v>
      </c>
      <c r="P19" s="57">
        <f t="shared" ref="P19:P47" si="6">J19/16*M19</f>
        <v>0</v>
      </c>
      <c r="Q19" s="146">
        <f t="shared" ref="Q19:Q47" si="7">J19/16*N19</f>
        <v>51365.542499999996</v>
      </c>
      <c r="R19" s="146">
        <f t="shared" ref="R19:R47" si="8">J19/16*O19</f>
        <v>25682.771249999998</v>
      </c>
      <c r="S19" s="144">
        <f t="shared" ref="S19:S47" si="9">(L19+P19+Q19+R19)*25%</f>
        <v>19262.0784375</v>
      </c>
      <c r="T19" s="145">
        <f t="shared" ref="T19:T47" si="10">(P19+Q19+R19+L19+S19)*10%</f>
        <v>9631.0392187500001</v>
      </c>
      <c r="U19" s="56"/>
      <c r="V19" s="56"/>
      <c r="W19" s="56"/>
      <c r="X19" s="56"/>
      <c r="Y19" s="56"/>
      <c r="Z19" s="56"/>
      <c r="AA19" s="57">
        <v>2</v>
      </c>
      <c r="AB19" s="56"/>
      <c r="AC19" s="56"/>
      <c r="AD19" s="56"/>
      <c r="AE19" s="56"/>
      <c r="AF19" s="56"/>
      <c r="AG19" s="56"/>
      <c r="AH19" s="56"/>
      <c r="AI19" s="56">
        <v>5309</v>
      </c>
      <c r="AJ19" s="56"/>
      <c r="AK19" s="56"/>
      <c r="AL19" s="56"/>
      <c r="AM19" s="56">
        <f>(Q19+P19+R19+S19)*40%</f>
        <v>38524.156875000001</v>
      </c>
      <c r="AN19" s="56"/>
      <c r="AO19" s="56"/>
      <c r="AP19" s="56"/>
      <c r="AQ19" s="48">
        <f t="shared" ref="AQ19:AQ47" si="11">AX19</f>
        <v>28893.11765625</v>
      </c>
      <c r="AR19" s="57"/>
      <c r="AS19" s="57"/>
      <c r="AT19" s="145">
        <f t="shared" si="2"/>
        <v>67417.274531250005</v>
      </c>
      <c r="AU19" s="146">
        <f t="shared" ref="AU19:AU47" si="12">P19+Q19+R19+S19+T19+X19+Y19+Z19+AH19+AI19+AJ19+AK19+AL19+AM19+AN19+AO19+AQ19+AR19+AS19+L19+AP19+AG19+AF19+AE19</f>
        <v>178667.70593749997</v>
      </c>
      <c r="AV19">
        <f t="shared" ref="AV19:AV47" si="13">J19*25%</f>
        <v>34243.695</v>
      </c>
      <c r="AW19" s="49">
        <f t="shared" si="3"/>
        <v>171218.47500000001</v>
      </c>
      <c r="AX19">
        <f t="shared" ref="AX19:AX47" si="14">AW19/16*(M19+N19+O19)*30%</f>
        <v>28893.11765625</v>
      </c>
    </row>
    <row r="20" spans="1:50" x14ac:dyDescent="0.2">
      <c r="A20" s="57">
        <v>3</v>
      </c>
      <c r="B20" s="31" t="s">
        <v>112</v>
      </c>
      <c r="C20" s="31" t="s">
        <v>60</v>
      </c>
      <c r="D20" s="31" t="s">
        <v>69</v>
      </c>
      <c r="E20" s="56" t="s">
        <v>80</v>
      </c>
      <c r="F20" s="147">
        <v>40</v>
      </c>
      <c r="G20" s="142">
        <v>5.41</v>
      </c>
      <c r="H20" s="56">
        <v>17697</v>
      </c>
      <c r="I20" s="57">
        <f t="shared" si="4"/>
        <v>95740.77</v>
      </c>
      <c r="J20" s="57">
        <f t="shared" si="5"/>
        <v>143611.155</v>
      </c>
      <c r="K20" s="56"/>
      <c r="L20" s="56">
        <f t="shared" si="1"/>
        <v>0</v>
      </c>
      <c r="M20" s="56"/>
      <c r="N20" s="56">
        <v>10</v>
      </c>
      <c r="O20" s="143">
        <v>6</v>
      </c>
      <c r="P20" s="57">
        <f t="shared" si="6"/>
        <v>0</v>
      </c>
      <c r="Q20" s="146">
        <f t="shared" si="7"/>
        <v>89756.971875000003</v>
      </c>
      <c r="R20" s="146">
        <f t="shared" si="8"/>
        <v>53854.183124999996</v>
      </c>
      <c r="S20" s="144">
        <f t="shared" si="9"/>
        <v>35902.78875</v>
      </c>
      <c r="T20" s="145">
        <f t="shared" si="10"/>
        <v>17951.394375</v>
      </c>
      <c r="U20" s="56"/>
      <c r="V20" s="56">
        <v>10</v>
      </c>
      <c r="W20" s="56">
        <v>5</v>
      </c>
      <c r="X20" s="56"/>
      <c r="Y20" s="56">
        <v>2765</v>
      </c>
      <c r="Z20" s="56">
        <v>1382</v>
      </c>
      <c r="AA20" s="57">
        <v>3</v>
      </c>
      <c r="AB20" s="56"/>
      <c r="AC20" s="56"/>
      <c r="AD20" s="56"/>
      <c r="AE20" s="56"/>
      <c r="AF20" s="56"/>
      <c r="AG20" s="56"/>
      <c r="AH20" s="56"/>
      <c r="AI20" s="56"/>
      <c r="AJ20" s="8"/>
      <c r="AK20" s="56"/>
      <c r="AL20" s="56"/>
      <c r="AM20" s="56">
        <f>(Q20+P20+R20+S20)*40%</f>
        <v>71805.577499999999</v>
      </c>
      <c r="AN20" s="56"/>
      <c r="AO20" s="56"/>
      <c r="AP20" s="56"/>
      <c r="AQ20" s="48">
        <f t="shared" si="11"/>
        <v>53854.183125000003</v>
      </c>
      <c r="AR20" s="57"/>
      <c r="AS20" s="57"/>
      <c r="AT20" s="145">
        <f t="shared" si="2"/>
        <v>125659.760625</v>
      </c>
      <c r="AU20" s="146">
        <f t="shared" si="12"/>
        <v>327272.09875</v>
      </c>
      <c r="AV20">
        <f t="shared" si="13"/>
        <v>35902.78875</v>
      </c>
      <c r="AW20" s="49">
        <f t="shared" si="3"/>
        <v>179513.94375000001</v>
      </c>
      <c r="AX20">
        <f t="shared" si="14"/>
        <v>53854.183125000003</v>
      </c>
    </row>
    <row r="21" spans="1:50" x14ac:dyDescent="0.2">
      <c r="A21" s="57">
        <v>4</v>
      </c>
      <c r="B21" s="31" t="s">
        <v>116</v>
      </c>
      <c r="C21" s="31" t="s">
        <v>60</v>
      </c>
      <c r="D21" s="31" t="s">
        <v>66</v>
      </c>
      <c r="E21" s="56" t="s">
        <v>80</v>
      </c>
      <c r="F21" s="56">
        <v>40</v>
      </c>
      <c r="G21" s="142">
        <v>5.41</v>
      </c>
      <c r="H21" s="56">
        <v>17697</v>
      </c>
      <c r="I21" s="57">
        <f t="shared" si="4"/>
        <v>95740.77</v>
      </c>
      <c r="J21" s="57">
        <f t="shared" si="5"/>
        <v>143611.155</v>
      </c>
      <c r="K21" s="56"/>
      <c r="L21" s="56"/>
      <c r="M21" s="56">
        <v>18</v>
      </c>
      <c r="N21" s="56"/>
      <c r="O21" s="143"/>
      <c r="P21" s="57">
        <f t="shared" si="6"/>
        <v>161562.549375</v>
      </c>
      <c r="Q21" s="146">
        <f t="shared" si="7"/>
        <v>0</v>
      </c>
      <c r="R21" s="146">
        <f t="shared" si="8"/>
        <v>0</v>
      </c>
      <c r="S21" s="144">
        <f t="shared" si="9"/>
        <v>40390.637343750001</v>
      </c>
      <c r="T21" s="145">
        <f t="shared" si="10"/>
        <v>20195.318671875</v>
      </c>
      <c r="U21" s="56">
        <v>9</v>
      </c>
      <c r="V21" s="56"/>
      <c r="W21" s="56"/>
      <c r="X21" s="56">
        <v>1990</v>
      </c>
      <c r="Y21" s="56"/>
      <c r="Z21" s="56"/>
      <c r="AA21" s="57">
        <v>4</v>
      </c>
      <c r="AB21" s="56"/>
      <c r="AC21" s="56"/>
      <c r="AD21" s="56"/>
      <c r="AE21" s="56"/>
      <c r="AF21" s="56"/>
      <c r="AG21" s="56"/>
      <c r="AH21" s="56">
        <v>4424</v>
      </c>
      <c r="AI21" s="56"/>
      <c r="AJ21" s="56"/>
      <c r="AK21" s="56"/>
      <c r="AL21" s="56"/>
      <c r="AM21" s="56">
        <v>80781</v>
      </c>
      <c r="AN21" s="56"/>
      <c r="AO21" s="56"/>
      <c r="AP21" s="56"/>
      <c r="AQ21" s="48">
        <f t="shared" si="11"/>
        <v>60585.956015625001</v>
      </c>
      <c r="AR21" s="56"/>
      <c r="AS21" s="56"/>
      <c r="AT21" s="145">
        <f t="shared" si="2"/>
        <v>141366.95601562501</v>
      </c>
      <c r="AU21" s="146">
        <f t="shared" si="12"/>
        <v>369929.46140624996</v>
      </c>
      <c r="AV21">
        <f t="shared" si="13"/>
        <v>35902.78875</v>
      </c>
      <c r="AW21" s="49">
        <f t="shared" si="3"/>
        <v>179513.94375000001</v>
      </c>
      <c r="AX21">
        <f t="shared" si="14"/>
        <v>60585.956015625001</v>
      </c>
    </row>
    <row r="22" spans="1:50" x14ac:dyDescent="0.2">
      <c r="A22" s="57">
        <v>5</v>
      </c>
      <c r="B22" s="31" t="s">
        <v>117</v>
      </c>
      <c r="C22" s="31" t="s">
        <v>60</v>
      </c>
      <c r="D22" s="31" t="s">
        <v>66</v>
      </c>
      <c r="E22" s="56" t="s">
        <v>80</v>
      </c>
      <c r="F22" s="56">
        <v>39</v>
      </c>
      <c r="G22" s="142">
        <v>5.41</v>
      </c>
      <c r="H22" s="56">
        <v>17697</v>
      </c>
      <c r="I22" s="57">
        <f t="shared" si="4"/>
        <v>95740.77</v>
      </c>
      <c r="J22" s="57">
        <f t="shared" si="5"/>
        <v>143611.155</v>
      </c>
      <c r="K22" s="56"/>
      <c r="L22" s="56">
        <f t="shared" ref="L22:L47" si="15">J22/24*K22</f>
        <v>0</v>
      </c>
      <c r="M22" s="56">
        <v>17</v>
      </c>
      <c r="N22" s="56"/>
      <c r="O22" s="143"/>
      <c r="P22" s="57">
        <f t="shared" si="6"/>
        <v>152586.85218749999</v>
      </c>
      <c r="Q22" s="146">
        <f t="shared" si="7"/>
        <v>0</v>
      </c>
      <c r="R22" s="146">
        <f t="shared" si="8"/>
        <v>0</v>
      </c>
      <c r="S22" s="144">
        <f t="shared" si="9"/>
        <v>38146.713046874997</v>
      </c>
      <c r="T22" s="145">
        <f t="shared" si="10"/>
        <v>19073.356523437498</v>
      </c>
      <c r="U22" s="56">
        <v>9</v>
      </c>
      <c r="V22" s="56"/>
      <c r="W22" s="56"/>
      <c r="X22" s="56">
        <v>1990</v>
      </c>
      <c r="Y22" s="56"/>
      <c r="Z22" s="56"/>
      <c r="AA22" s="57">
        <v>5</v>
      </c>
      <c r="AB22" s="56"/>
      <c r="AC22" s="56"/>
      <c r="AD22" s="56"/>
      <c r="AE22" s="56"/>
      <c r="AF22" s="56"/>
      <c r="AG22" s="56"/>
      <c r="AH22" s="56">
        <v>4424</v>
      </c>
      <c r="AI22" s="56"/>
      <c r="AJ22" s="53">
        <v>3539</v>
      </c>
      <c r="AK22" s="56"/>
      <c r="AL22" s="56"/>
      <c r="AM22" s="56">
        <f>(Q22+P22+R22+S22)*40%</f>
        <v>76293.426093749993</v>
      </c>
      <c r="AN22" s="56"/>
      <c r="AO22" s="56"/>
      <c r="AP22" s="56"/>
      <c r="AQ22" s="48">
        <f t="shared" si="11"/>
        <v>57220.069570312502</v>
      </c>
      <c r="AR22" s="56"/>
      <c r="AS22" s="56"/>
      <c r="AT22" s="145">
        <f t="shared" si="2"/>
        <v>133513.4956640625</v>
      </c>
      <c r="AU22" s="146">
        <f t="shared" si="12"/>
        <v>353273.417421875</v>
      </c>
      <c r="AV22">
        <f t="shared" si="13"/>
        <v>35902.78875</v>
      </c>
      <c r="AW22" s="49">
        <f t="shared" si="3"/>
        <v>179513.94375000001</v>
      </c>
      <c r="AX22">
        <f t="shared" si="14"/>
        <v>57220.069570312502</v>
      </c>
    </row>
    <row r="23" spans="1:50" s="131" customFormat="1" x14ac:dyDescent="0.2">
      <c r="A23" s="57">
        <v>6</v>
      </c>
      <c r="B23" s="32" t="s">
        <v>133</v>
      </c>
      <c r="C23" s="31" t="s">
        <v>60</v>
      </c>
      <c r="D23" s="31" t="s">
        <v>225</v>
      </c>
      <c r="E23" s="56" t="s">
        <v>91</v>
      </c>
      <c r="F23" s="56">
        <v>12.3</v>
      </c>
      <c r="G23" s="142">
        <v>4.38</v>
      </c>
      <c r="H23" s="56">
        <v>17697</v>
      </c>
      <c r="I23" s="56">
        <f t="shared" si="4"/>
        <v>77512.86</v>
      </c>
      <c r="J23" s="57">
        <f t="shared" si="5"/>
        <v>116269.29000000001</v>
      </c>
      <c r="K23" s="56"/>
      <c r="L23" s="56">
        <f t="shared" si="15"/>
        <v>0</v>
      </c>
      <c r="M23" s="56"/>
      <c r="N23" s="56">
        <v>18</v>
      </c>
      <c r="O23" s="56">
        <v>2</v>
      </c>
      <c r="P23" s="57">
        <f t="shared" si="6"/>
        <v>0</v>
      </c>
      <c r="Q23" s="146">
        <f t="shared" si="7"/>
        <v>130802.95125000001</v>
      </c>
      <c r="R23" s="146">
        <f t="shared" si="8"/>
        <v>14533.661250000001</v>
      </c>
      <c r="S23" s="144">
        <f t="shared" si="9"/>
        <v>36334.153125000004</v>
      </c>
      <c r="T23" s="145">
        <f t="shared" si="10"/>
        <v>18167.076562500002</v>
      </c>
      <c r="U23" s="56"/>
      <c r="V23" s="56"/>
      <c r="W23" s="56"/>
      <c r="X23" s="56"/>
      <c r="Y23" s="56"/>
      <c r="Z23" s="56"/>
      <c r="AA23" s="57">
        <v>6</v>
      </c>
      <c r="AB23" s="56"/>
      <c r="AC23" s="56"/>
      <c r="AD23" s="56"/>
      <c r="AE23" s="56"/>
      <c r="AF23" s="56"/>
      <c r="AG23" s="56"/>
      <c r="AH23" s="56"/>
      <c r="AI23" s="56"/>
      <c r="AJ23" s="56"/>
      <c r="AK23" s="56"/>
      <c r="AL23" s="56"/>
      <c r="AM23" s="56"/>
      <c r="AN23" s="56"/>
      <c r="AO23" s="56"/>
      <c r="AP23" s="56"/>
      <c r="AQ23" s="48">
        <f t="shared" si="11"/>
        <v>54501.22968750001</v>
      </c>
      <c r="AR23" s="56"/>
      <c r="AS23" s="56"/>
      <c r="AT23" s="166">
        <f t="shared" si="2"/>
        <v>54501.22968750001</v>
      </c>
      <c r="AU23" s="146">
        <f t="shared" si="12"/>
        <v>254339.07187500005</v>
      </c>
      <c r="AV23" s="33">
        <f t="shared" si="13"/>
        <v>29067.322500000002</v>
      </c>
      <c r="AW23" s="155">
        <f t="shared" si="3"/>
        <v>145336.61250000002</v>
      </c>
      <c r="AX23">
        <f t="shared" si="14"/>
        <v>54501.22968750001</v>
      </c>
    </row>
    <row r="24" spans="1:50" s="131" customFormat="1" x14ac:dyDescent="0.2">
      <c r="A24" s="57">
        <v>7</v>
      </c>
      <c r="B24" s="32" t="s">
        <v>116</v>
      </c>
      <c r="C24" s="31" t="s">
        <v>60</v>
      </c>
      <c r="D24" s="31" t="s">
        <v>190</v>
      </c>
      <c r="E24" s="56" t="s">
        <v>91</v>
      </c>
      <c r="F24" s="56">
        <v>40</v>
      </c>
      <c r="G24" s="142">
        <v>4.7300000000000004</v>
      </c>
      <c r="H24" s="56">
        <v>17697</v>
      </c>
      <c r="I24" s="56">
        <f>G24*H24</f>
        <v>83706.810000000012</v>
      </c>
      <c r="J24" s="57">
        <f t="shared" si="5"/>
        <v>125560.21500000003</v>
      </c>
      <c r="K24" s="56">
        <v>1</v>
      </c>
      <c r="L24" s="56">
        <f t="shared" si="15"/>
        <v>5231.6756250000008</v>
      </c>
      <c r="M24" s="56">
        <v>2</v>
      </c>
      <c r="N24" s="56"/>
      <c r="O24" s="56"/>
      <c r="P24" s="57">
        <f t="shared" si="6"/>
        <v>15695.026875000003</v>
      </c>
      <c r="Q24" s="146">
        <f t="shared" si="7"/>
        <v>0</v>
      </c>
      <c r="R24" s="146">
        <f t="shared" si="8"/>
        <v>0</v>
      </c>
      <c r="S24" s="144">
        <f t="shared" si="9"/>
        <v>5231.6756250000008</v>
      </c>
      <c r="T24" s="145">
        <f t="shared" si="10"/>
        <v>2615.8378125000004</v>
      </c>
      <c r="U24" s="56">
        <v>2</v>
      </c>
      <c r="V24" s="56"/>
      <c r="W24" s="56"/>
      <c r="X24" s="56">
        <v>553</v>
      </c>
      <c r="Y24" s="56"/>
      <c r="Z24" s="56"/>
      <c r="AA24" s="57">
        <v>7</v>
      </c>
      <c r="AB24" s="56"/>
      <c r="AC24" s="56"/>
      <c r="AD24" s="56"/>
      <c r="AE24" s="56"/>
      <c r="AF24" s="56"/>
      <c r="AG24" s="56"/>
      <c r="AH24" s="56"/>
      <c r="AI24" s="56"/>
      <c r="AJ24" s="56"/>
      <c r="AK24" s="56"/>
      <c r="AL24" s="56"/>
      <c r="AM24" s="56"/>
      <c r="AN24" s="56"/>
      <c r="AO24" s="56"/>
      <c r="AP24" s="56"/>
      <c r="AQ24" s="48">
        <f t="shared" si="11"/>
        <v>5885.6350781250012</v>
      </c>
      <c r="AR24" s="56"/>
      <c r="AS24" s="56"/>
      <c r="AT24" s="166">
        <f t="shared" si="2"/>
        <v>5885.6350781250012</v>
      </c>
      <c r="AU24" s="146">
        <f t="shared" si="12"/>
        <v>35212.851015625005</v>
      </c>
      <c r="AV24" s="33">
        <f t="shared" si="13"/>
        <v>31390.053750000006</v>
      </c>
      <c r="AW24" s="155">
        <f t="shared" si="3"/>
        <v>156950.26875000005</v>
      </c>
      <c r="AX24">
        <f t="shared" si="14"/>
        <v>5885.6350781250012</v>
      </c>
    </row>
    <row r="25" spans="1:50" x14ac:dyDescent="0.2">
      <c r="A25" s="57">
        <v>8</v>
      </c>
      <c r="B25" s="16" t="s">
        <v>111</v>
      </c>
      <c r="C25" s="16" t="s">
        <v>60</v>
      </c>
      <c r="D25" s="16" t="s">
        <v>65</v>
      </c>
      <c r="E25" s="56" t="s">
        <v>81</v>
      </c>
      <c r="F25" s="57">
        <v>13</v>
      </c>
      <c r="G25" s="56">
        <v>4.95</v>
      </c>
      <c r="H25" s="56">
        <v>17697</v>
      </c>
      <c r="I25" s="57">
        <f t="shared" si="4"/>
        <v>87600.150000000009</v>
      </c>
      <c r="J25" s="57">
        <f t="shared" si="5"/>
        <v>131400.22500000001</v>
      </c>
      <c r="K25" s="56"/>
      <c r="L25" s="56">
        <f t="shared" si="15"/>
        <v>0</v>
      </c>
      <c r="M25" s="56"/>
      <c r="N25" s="57"/>
      <c r="O25" s="143">
        <v>10</v>
      </c>
      <c r="P25" s="57">
        <f t="shared" si="6"/>
        <v>0</v>
      </c>
      <c r="Q25" s="146">
        <f t="shared" si="7"/>
        <v>0</v>
      </c>
      <c r="R25" s="146">
        <f t="shared" si="8"/>
        <v>82125.140625</v>
      </c>
      <c r="S25" s="144">
        <f t="shared" si="9"/>
        <v>20531.28515625</v>
      </c>
      <c r="T25" s="145">
        <f t="shared" si="10"/>
        <v>10265.642578125</v>
      </c>
      <c r="U25" s="57"/>
      <c r="V25" s="57"/>
      <c r="W25" s="57"/>
      <c r="X25" s="57"/>
      <c r="Y25" s="57"/>
      <c r="Z25" s="57"/>
      <c r="AA25" s="57">
        <v>8</v>
      </c>
      <c r="AB25" s="57"/>
      <c r="AC25" s="57"/>
      <c r="AD25" s="57"/>
      <c r="AE25" s="57"/>
      <c r="AF25" s="57"/>
      <c r="AG25" s="57"/>
      <c r="AH25" s="57"/>
      <c r="AI25" s="57"/>
      <c r="AJ25" s="57"/>
      <c r="AK25" s="57"/>
      <c r="AL25" s="57"/>
      <c r="AM25" s="57"/>
      <c r="AN25" s="56">
        <f>(P25+Q25+R25+S25)*35%</f>
        <v>35929.7490234375</v>
      </c>
      <c r="AO25" s="57"/>
      <c r="AP25" s="57"/>
      <c r="AQ25" s="48">
        <f t="shared" si="11"/>
        <v>30796.927734375</v>
      </c>
      <c r="AR25" s="56"/>
      <c r="AS25" s="56"/>
      <c r="AT25" s="145">
        <f t="shared" si="2"/>
        <v>66726.6767578125</v>
      </c>
      <c r="AU25" s="146">
        <f t="shared" si="12"/>
        <v>179648.7451171875</v>
      </c>
      <c r="AV25">
        <f t="shared" si="13"/>
        <v>32850.056250000001</v>
      </c>
      <c r="AW25" s="49">
        <f t="shared" si="3"/>
        <v>164250.28125</v>
      </c>
      <c r="AX25">
        <f t="shared" si="14"/>
        <v>30796.927734375</v>
      </c>
    </row>
    <row r="26" spans="1:50" x14ac:dyDescent="0.2">
      <c r="A26" s="57">
        <v>9</v>
      </c>
      <c r="B26" s="31" t="s">
        <v>156</v>
      </c>
      <c r="C26" s="31" t="s">
        <v>60</v>
      </c>
      <c r="D26" s="31" t="s">
        <v>40</v>
      </c>
      <c r="E26" s="56" t="s">
        <v>81</v>
      </c>
      <c r="F26" s="142">
        <v>13.06</v>
      </c>
      <c r="G26" s="56">
        <v>4.95</v>
      </c>
      <c r="H26" s="56">
        <v>17697</v>
      </c>
      <c r="I26" s="57">
        <f t="shared" si="4"/>
        <v>87600.150000000009</v>
      </c>
      <c r="J26" s="57">
        <f t="shared" si="5"/>
        <v>131400.22500000001</v>
      </c>
      <c r="K26" s="56"/>
      <c r="L26" s="56">
        <f t="shared" si="15"/>
        <v>0</v>
      </c>
      <c r="M26" s="56"/>
      <c r="N26" s="56">
        <v>6</v>
      </c>
      <c r="O26" s="143">
        <v>2</v>
      </c>
      <c r="P26" s="57">
        <f t="shared" si="6"/>
        <v>0</v>
      </c>
      <c r="Q26" s="146">
        <f t="shared" si="7"/>
        <v>49275.084375000006</v>
      </c>
      <c r="R26" s="146">
        <f t="shared" si="8"/>
        <v>16425.028125000001</v>
      </c>
      <c r="S26" s="144">
        <f t="shared" si="9"/>
        <v>16425.028125000001</v>
      </c>
      <c r="T26" s="145">
        <f t="shared" si="10"/>
        <v>8212.5140625000004</v>
      </c>
      <c r="U26" s="56"/>
      <c r="V26" s="56">
        <v>6</v>
      </c>
      <c r="W26" s="56">
        <v>2</v>
      </c>
      <c r="X26" s="56"/>
      <c r="Y26" s="56">
        <v>1325</v>
      </c>
      <c r="Z26" s="56">
        <v>442</v>
      </c>
      <c r="AA26" s="57">
        <v>9</v>
      </c>
      <c r="AB26" s="56"/>
      <c r="AC26" s="56"/>
      <c r="AD26" s="56"/>
      <c r="AE26" s="56"/>
      <c r="AF26" s="56"/>
      <c r="AG26" s="56"/>
      <c r="AH26" s="56"/>
      <c r="AI26" s="56"/>
      <c r="AJ26" s="56"/>
      <c r="AK26" s="56"/>
      <c r="AL26" s="56"/>
      <c r="AM26" s="56"/>
      <c r="AN26" s="56"/>
      <c r="AO26" s="56"/>
      <c r="AP26" s="56"/>
      <c r="AQ26" s="48">
        <f t="shared" si="11"/>
        <v>24637.542187499999</v>
      </c>
      <c r="AR26" s="56"/>
      <c r="AS26" s="56"/>
      <c r="AT26" s="145">
        <f t="shared" si="2"/>
        <v>24637.542187499999</v>
      </c>
      <c r="AU26" s="146">
        <f t="shared" si="12"/>
        <v>116742.19687500001</v>
      </c>
      <c r="AV26">
        <f t="shared" si="13"/>
        <v>32850.056250000001</v>
      </c>
      <c r="AW26" s="49">
        <f t="shared" si="3"/>
        <v>164250.28125</v>
      </c>
      <c r="AX26">
        <f t="shared" si="14"/>
        <v>24637.542187499999</v>
      </c>
    </row>
    <row r="27" spans="1:50" x14ac:dyDescent="0.2">
      <c r="A27" s="57">
        <v>10</v>
      </c>
      <c r="B27" s="32" t="s">
        <v>119</v>
      </c>
      <c r="C27" s="31" t="s">
        <v>60</v>
      </c>
      <c r="D27" s="31" t="s">
        <v>66</v>
      </c>
      <c r="E27" s="56" t="s">
        <v>81</v>
      </c>
      <c r="F27" s="56">
        <v>40</v>
      </c>
      <c r="G27" s="142">
        <v>5.2</v>
      </c>
      <c r="H27" s="56">
        <v>17697</v>
      </c>
      <c r="I27" s="57">
        <f t="shared" si="4"/>
        <v>92024.400000000009</v>
      </c>
      <c r="J27" s="57">
        <f t="shared" si="5"/>
        <v>138036.6</v>
      </c>
      <c r="K27" s="56"/>
      <c r="L27" s="56">
        <f t="shared" si="15"/>
        <v>0</v>
      </c>
      <c r="M27" s="56">
        <v>16</v>
      </c>
      <c r="N27" s="56"/>
      <c r="O27" s="143"/>
      <c r="P27" s="57">
        <f t="shared" si="6"/>
        <v>138036.6</v>
      </c>
      <c r="Q27" s="146">
        <f t="shared" si="7"/>
        <v>0</v>
      </c>
      <c r="R27" s="146">
        <f t="shared" si="8"/>
        <v>0</v>
      </c>
      <c r="S27" s="144">
        <f t="shared" si="9"/>
        <v>34509.15</v>
      </c>
      <c r="T27" s="145">
        <f t="shared" si="10"/>
        <v>17254.575000000001</v>
      </c>
      <c r="U27" s="56">
        <v>8</v>
      </c>
      <c r="V27" s="56"/>
      <c r="W27" s="56"/>
      <c r="X27" s="56">
        <v>1769</v>
      </c>
      <c r="Y27" s="56"/>
      <c r="Z27" s="56"/>
      <c r="AA27" s="57">
        <v>10</v>
      </c>
      <c r="AB27" s="56"/>
      <c r="AC27" s="56"/>
      <c r="AD27" s="56"/>
      <c r="AE27" s="56"/>
      <c r="AF27" s="56"/>
      <c r="AG27" s="56"/>
      <c r="AH27" s="56">
        <v>4424</v>
      </c>
      <c r="AI27" s="56"/>
      <c r="AJ27" s="53">
        <v>3539</v>
      </c>
      <c r="AK27" s="56"/>
      <c r="AL27" s="56"/>
      <c r="AM27" s="56"/>
      <c r="AN27" s="56">
        <f>(P27+Q27+R27+S27)*35%</f>
        <v>60391.012499999997</v>
      </c>
      <c r="AO27" s="56"/>
      <c r="AP27" s="56"/>
      <c r="AQ27" s="48">
        <f t="shared" si="11"/>
        <v>51763.724999999999</v>
      </c>
      <c r="AR27" s="56"/>
      <c r="AS27" s="56"/>
      <c r="AT27" s="145">
        <f t="shared" si="2"/>
        <v>112154.73749999999</v>
      </c>
      <c r="AU27" s="146">
        <f t="shared" si="12"/>
        <v>311687.0625</v>
      </c>
      <c r="AV27">
        <f t="shared" si="13"/>
        <v>34509.15</v>
      </c>
      <c r="AW27" s="49">
        <f t="shared" si="3"/>
        <v>172545.75</v>
      </c>
      <c r="AX27">
        <f t="shared" si="14"/>
        <v>51763.724999999999</v>
      </c>
    </row>
    <row r="28" spans="1:50" x14ac:dyDescent="0.2">
      <c r="A28" s="57">
        <v>11</v>
      </c>
      <c r="B28" s="32" t="s">
        <v>122</v>
      </c>
      <c r="C28" s="16" t="s">
        <v>60</v>
      </c>
      <c r="D28" s="19" t="s">
        <v>41</v>
      </c>
      <c r="E28" s="56" t="s">
        <v>81</v>
      </c>
      <c r="F28" s="57">
        <v>19.09</v>
      </c>
      <c r="G28" s="56">
        <v>5.03</v>
      </c>
      <c r="H28" s="56">
        <v>17697</v>
      </c>
      <c r="I28" s="57">
        <f t="shared" si="4"/>
        <v>89015.91</v>
      </c>
      <c r="J28" s="57">
        <f t="shared" si="5"/>
        <v>133523.86499999999</v>
      </c>
      <c r="K28" s="56"/>
      <c r="L28" s="56">
        <f t="shared" si="15"/>
        <v>0</v>
      </c>
      <c r="M28" s="56"/>
      <c r="N28" s="57">
        <v>25</v>
      </c>
      <c r="O28" s="143"/>
      <c r="P28" s="57">
        <f t="shared" si="6"/>
        <v>0</v>
      </c>
      <c r="Q28" s="146">
        <f t="shared" si="7"/>
        <v>208631.0390625</v>
      </c>
      <c r="R28" s="146">
        <f t="shared" si="8"/>
        <v>0</v>
      </c>
      <c r="S28" s="144">
        <f t="shared" si="9"/>
        <v>52157.759765625</v>
      </c>
      <c r="T28" s="145">
        <f t="shared" si="10"/>
        <v>26078.8798828125</v>
      </c>
      <c r="U28" s="57"/>
      <c r="V28" s="57">
        <v>25</v>
      </c>
      <c r="W28" s="57"/>
      <c r="X28" s="57"/>
      <c r="Y28" s="57">
        <v>5530</v>
      </c>
      <c r="Z28" s="57"/>
      <c r="AA28" s="57">
        <v>11</v>
      </c>
      <c r="AB28" s="57"/>
      <c r="AC28" s="57"/>
      <c r="AD28" s="57"/>
      <c r="AE28" s="57"/>
      <c r="AF28" s="57"/>
      <c r="AG28" s="57"/>
      <c r="AH28" s="57"/>
      <c r="AI28" s="57">
        <v>5309</v>
      </c>
      <c r="AJ28" s="57">
        <v>3539</v>
      </c>
      <c r="AK28" s="57"/>
      <c r="AL28" s="57"/>
      <c r="AM28" s="57"/>
      <c r="AN28" s="56">
        <f>(P28+Q28+R28+S28)*35%</f>
        <v>91276.07958984375</v>
      </c>
      <c r="AO28" s="57"/>
      <c r="AP28" s="57"/>
      <c r="AQ28" s="48">
        <f t="shared" si="11"/>
        <v>78236.639648437485</v>
      </c>
      <c r="AR28" s="56"/>
      <c r="AS28" s="56"/>
      <c r="AT28" s="145">
        <f t="shared" si="2"/>
        <v>169512.71923828125</v>
      </c>
      <c r="AU28" s="146">
        <f t="shared" si="12"/>
        <v>470758.39794921875</v>
      </c>
      <c r="AV28">
        <f t="shared" si="13"/>
        <v>33380.966249999998</v>
      </c>
      <c r="AW28" s="49">
        <f t="shared" si="3"/>
        <v>166904.83124999999</v>
      </c>
      <c r="AX28">
        <f t="shared" si="14"/>
        <v>78236.639648437485</v>
      </c>
    </row>
    <row r="29" spans="1:50" x14ac:dyDescent="0.2">
      <c r="A29" s="57">
        <v>12</v>
      </c>
      <c r="B29" s="31" t="s">
        <v>121</v>
      </c>
      <c r="C29" s="32" t="s">
        <v>60</v>
      </c>
      <c r="D29" s="31" t="s">
        <v>123</v>
      </c>
      <c r="E29" s="56" t="s">
        <v>82</v>
      </c>
      <c r="F29" s="56">
        <v>21</v>
      </c>
      <c r="G29" s="56">
        <v>5.08</v>
      </c>
      <c r="H29" s="56">
        <v>17697</v>
      </c>
      <c r="I29" s="57">
        <f t="shared" si="4"/>
        <v>89900.76</v>
      </c>
      <c r="J29" s="57">
        <f t="shared" si="5"/>
        <v>134851.13999999998</v>
      </c>
      <c r="K29" s="56"/>
      <c r="L29" s="56">
        <f t="shared" si="15"/>
        <v>0</v>
      </c>
      <c r="M29" s="56">
        <v>9</v>
      </c>
      <c r="N29" s="56">
        <v>3</v>
      </c>
      <c r="O29" s="143">
        <v>6</v>
      </c>
      <c r="P29" s="57">
        <f t="shared" si="6"/>
        <v>75853.766249999986</v>
      </c>
      <c r="Q29" s="146">
        <f t="shared" si="7"/>
        <v>25284.588749999995</v>
      </c>
      <c r="R29" s="146">
        <f t="shared" si="8"/>
        <v>50569.177499999991</v>
      </c>
      <c r="S29" s="144">
        <f t="shared" si="9"/>
        <v>37926.883124999993</v>
      </c>
      <c r="T29" s="145">
        <f t="shared" si="10"/>
        <v>18963.441562499997</v>
      </c>
      <c r="U29" s="56"/>
      <c r="V29" s="56"/>
      <c r="W29" s="56"/>
      <c r="X29" s="56"/>
      <c r="Y29" s="56"/>
      <c r="Z29" s="56"/>
      <c r="AA29" s="57">
        <v>12</v>
      </c>
      <c r="AB29" s="56"/>
      <c r="AC29" s="56"/>
      <c r="AD29" s="56"/>
      <c r="AE29" s="56"/>
      <c r="AF29" s="56"/>
      <c r="AG29" s="56"/>
      <c r="AH29" s="56"/>
      <c r="AI29" s="56"/>
      <c r="AJ29" s="8"/>
      <c r="AK29" s="56"/>
      <c r="AL29" s="56"/>
      <c r="AM29" s="56"/>
      <c r="AN29" s="56"/>
      <c r="AO29" s="56">
        <f>(P29+Q29+R29+S29)*30%</f>
        <v>56890.32468749999</v>
      </c>
      <c r="AP29" s="56">
        <v>17697</v>
      </c>
      <c r="AQ29" s="48">
        <f t="shared" si="11"/>
        <v>56890.324687499997</v>
      </c>
      <c r="AR29" s="56"/>
      <c r="AS29" s="56"/>
      <c r="AT29" s="145">
        <f t="shared" si="2"/>
        <v>113780.64937499998</v>
      </c>
      <c r="AU29" s="146">
        <f t="shared" si="12"/>
        <v>340075.50656249997</v>
      </c>
      <c r="AV29">
        <f t="shared" si="13"/>
        <v>33712.784999999996</v>
      </c>
      <c r="AW29" s="49">
        <f t="shared" si="3"/>
        <v>168563.92499999999</v>
      </c>
      <c r="AX29">
        <f t="shared" si="14"/>
        <v>56890.324687499997</v>
      </c>
    </row>
    <row r="30" spans="1:50" x14ac:dyDescent="0.2">
      <c r="A30" s="57">
        <v>13</v>
      </c>
      <c r="B30" s="31" t="s">
        <v>112</v>
      </c>
      <c r="C30" s="31" t="s">
        <v>60</v>
      </c>
      <c r="D30" s="31" t="s">
        <v>100</v>
      </c>
      <c r="E30" s="56" t="s">
        <v>81</v>
      </c>
      <c r="F30" s="56">
        <v>40</v>
      </c>
      <c r="G30" s="142">
        <v>5.2</v>
      </c>
      <c r="H30" s="56">
        <v>17697</v>
      </c>
      <c r="I30" s="57">
        <f t="shared" si="4"/>
        <v>92024.400000000009</v>
      </c>
      <c r="J30" s="57">
        <f t="shared" si="5"/>
        <v>138036.6</v>
      </c>
      <c r="K30" s="56"/>
      <c r="L30" s="56">
        <f t="shared" si="15"/>
        <v>0</v>
      </c>
      <c r="M30" s="56"/>
      <c r="N30" s="56">
        <v>12</v>
      </c>
      <c r="O30" s="143"/>
      <c r="P30" s="57">
        <f t="shared" si="6"/>
        <v>0</v>
      </c>
      <c r="Q30" s="146">
        <f t="shared" si="7"/>
        <v>103527.45000000001</v>
      </c>
      <c r="R30" s="146">
        <f t="shared" si="8"/>
        <v>0</v>
      </c>
      <c r="S30" s="144">
        <f t="shared" si="9"/>
        <v>25881.862500000003</v>
      </c>
      <c r="T30" s="145">
        <f t="shared" si="10"/>
        <v>12940.931250000001</v>
      </c>
      <c r="U30" s="56"/>
      <c r="V30" s="56">
        <v>12</v>
      </c>
      <c r="W30" s="56"/>
      <c r="X30" s="56"/>
      <c r="Y30" s="56">
        <v>3318</v>
      </c>
      <c r="Z30" s="56"/>
      <c r="AA30" s="57">
        <v>13</v>
      </c>
      <c r="AB30" s="56"/>
      <c r="AC30" s="56"/>
      <c r="AD30" s="56"/>
      <c r="AE30" s="56"/>
      <c r="AF30" s="56"/>
      <c r="AG30" s="56"/>
      <c r="AH30" s="56"/>
      <c r="AI30" s="56"/>
      <c r="AJ30" s="56"/>
      <c r="AK30" s="56"/>
      <c r="AL30" s="56"/>
      <c r="AM30" s="56"/>
      <c r="AN30" s="56">
        <f t="shared" ref="AN30" si="16">(P30+Q30+R30+S30)*35%</f>
        <v>45293.259375000001</v>
      </c>
      <c r="AO30" s="56"/>
      <c r="AP30" s="56"/>
      <c r="AQ30" s="48">
        <f t="shared" si="11"/>
        <v>38822.793749999997</v>
      </c>
      <c r="AR30" s="56"/>
      <c r="AS30" s="56"/>
      <c r="AT30" s="145">
        <f t="shared" si="2"/>
        <v>84116.053125000006</v>
      </c>
      <c r="AU30" s="146">
        <f t="shared" si="12"/>
        <v>229784.296875</v>
      </c>
      <c r="AV30">
        <f t="shared" si="13"/>
        <v>34509.15</v>
      </c>
      <c r="AW30" s="49">
        <f t="shared" si="3"/>
        <v>172545.75</v>
      </c>
      <c r="AX30">
        <f t="shared" si="14"/>
        <v>38822.793749999997</v>
      </c>
    </row>
    <row r="31" spans="1:50" x14ac:dyDescent="0.2">
      <c r="A31" s="57">
        <v>14</v>
      </c>
      <c r="B31" s="31" t="s">
        <v>113</v>
      </c>
      <c r="C31" s="31" t="s">
        <v>60</v>
      </c>
      <c r="D31" s="31" t="s">
        <v>64</v>
      </c>
      <c r="E31" s="56" t="s">
        <v>82</v>
      </c>
      <c r="F31" s="56">
        <v>10</v>
      </c>
      <c r="G31" s="56">
        <v>4.8099999999999996</v>
      </c>
      <c r="H31" s="56">
        <v>17697</v>
      </c>
      <c r="I31" s="57">
        <f t="shared" si="4"/>
        <v>85122.569999999992</v>
      </c>
      <c r="J31" s="57">
        <f t="shared" si="5"/>
        <v>127683.85499999998</v>
      </c>
      <c r="K31" s="56">
        <v>1</v>
      </c>
      <c r="L31" s="56">
        <f t="shared" si="15"/>
        <v>5320.1606249999995</v>
      </c>
      <c r="M31" s="56">
        <v>3</v>
      </c>
      <c r="N31" s="56">
        <v>5</v>
      </c>
      <c r="O31" s="143">
        <v>2</v>
      </c>
      <c r="P31" s="57">
        <f t="shared" si="6"/>
        <v>23940.722812499997</v>
      </c>
      <c r="Q31" s="146">
        <f t="shared" si="7"/>
        <v>39901.204687499994</v>
      </c>
      <c r="R31" s="146">
        <f t="shared" si="8"/>
        <v>15960.481874999998</v>
      </c>
      <c r="S31" s="144">
        <f t="shared" si="9"/>
        <v>21280.642499999998</v>
      </c>
      <c r="T31" s="145">
        <f t="shared" si="10"/>
        <v>10640.321250000001</v>
      </c>
      <c r="U31" s="56"/>
      <c r="V31" s="56"/>
      <c r="W31" s="56"/>
      <c r="X31" s="56"/>
      <c r="Y31" s="56"/>
      <c r="Z31" s="56"/>
      <c r="AA31" s="57">
        <v>14</v>
      </c>
      <c r="AB31" s="56"/>
      <c r="AC31" s="56"/>
      <c r="AD31" s="56"/>
      <c r="AE31" s="56"/>
      <c r="AF31" s="56"/>
      <c r="AG31" s="56"/>
      <c r="AH31" s="56"/>
      <c r="AI31" s="56">
        <v>5309</v>
      </c>
      <c r="AJ31" s="56">
        <v>3539</v>
      </c>
      <c r="AK31" s="56"/>
      <c r="AL31" s="56"/>
      <c r="AM31" s="56"/>
      <c r="AN31" s="56"/>
      <c r="AO31" s="56"/>
      <c r="AP31" s="56"/>
      <c r="AQ31" s="48">
        <f t="shared" si="11"/>
        <v>29925.903515624996</v>
      </c>
      <c r="AR31" s="56"/>
      <c r="AS31" s="56"/>
      <c r="AT31" s="145">
        <f t="shared" si="2"/>
        <v>29925.903515624996</v>
      </c>
      <c r="AU31" s="146">
        <f t="shared" si="12"/>
        <v>155817.43726562496</v>
      </c>
      <c r="AV31">
        <f t="shared" si="13"/>
        <v>31920.963749999995</v>
      </c>
      <c r="AW31" s="49">
        <f t="shared" si="3"/>
        <v>159604.81874999998</v>
      </c>
      <c r="AX31">
        <f t="shared" si="14"/>
        <v>29925.903515624996</v>
      </c>
    </row>
    <row r="32" spans="1:50" x14ac:dyDescent="0.2">
      <c r="A32" s="57">
        <v>15</v>
      </c>
      <c r="B32" s="31" t="s">
        <v>114</v>
      </c>
      <c r="C32" s="31" t="s">
        <v>60</v>
      </c>
      <c r="D32" s="31" t="s">
        <v>69</v>
      </c>
      <c r="E32" s="56" t="s">
        <v>82</v>
      </c>
      <c r="F32" s="56">
        <v>12</v>
      </c>
      <c r="G32" s="56">
        <v>4.8099999999999996</v>
      </c>
      <c r="H32" s="56">
        <v>17697</v>
      </c>
      <c r="I32" s="57">
        <f t="shared" si="4"/>
        <v>85122.569999999992</v>
      </c>
      <c r="J32" s="57">
        <f t="shared" si="5"/>
        <v>127683.85499999998</v>
      </c>
      <c r="K32" s="56"/>
      <c r="L32" s="56">
        <f t="shared" si="15"/>
        <v>0</v>
      </c>
      <c r="M32" s="56"/>
      <c r="N32" s="56">
        <v>11</v>
      </c>
      <c r="O32" s="143">
        <v>7</v>
      </c>
      <c r="P32" s="57">
        <f t="shared" si="6"/>
        <v>0</v>
      </c>
      <c r="Q32" s="146">
        <f t="shared" si="7"/>
        <v>87782.650312499987</v>
      </c>
      <c r="R32" s="146">
        <f t="shared" si="8"/>
        <v>55861.686562499992</v>
      </c>
      <c r="S32" s="144">
        <f t="shared" si="9"/>
        <v>35911.084218749995</v>
      </c>
      <c r="T32" s="145">
        <f t="shared" si="10"/>
        <v>17955.542109375001</v>
      </c>
      <c r="U32" s="56"/>
      <c r="V32" s="56">
        <v>10</v>
      </c>
      <c r="W32" s="56">
        <v>5</v>
      </c>
      <c r="X32" s="56"/>
      <c r="Y32" s="56">
        <v>2765</v>
      </c>
      <c r="Z32" s="56">
        <v>1382</v>
      </c>
      <c r="AA32" s="57">
        <v>15</v>
      </c>
      <c r="AB32" s="56"/>
      <c r="AC32" s="56"/>
      <c r="AD32" s="56"/>
      <c r="AE32" s="56"/>
      <c r="AF32" s="56"/>
      <c r="AG32" s="56"/>
      <c r="AH32" s="56"/>
      <c r="AI32" s="56">
        <v>5309</v>
      </c>
      <c r="AJ32" s="56"/>
      <c r="AK32" s="56"/>
      <c r="AL32" s="56"/>
      <c r="AM32" s="56"/>
      <c r="AN32" s="56"/>
      <c r="AO32" s="56"/>
      <c r="AP32" s="56"/>
      <c r="AQ32" s="48">
        <f t="shared" si="11"/>
        <v>53866.626328124992</v>
      </c>
      <c r="AR32" s="56"/>
      <c r="AS32" s="56"/>
      <c r="AT32" s="145">
        <f t="shared" si="2"/>
        <v>53866.626328124992</v>
      </c>
      <c r="AU32" s="146">
        <f t="shared" si="12"/>
        <v>260833.58953124998</v>
      </c>
      <c r="AV32">
        <f t="shared" si="13"/>
        <v>31920.963749999995</v>
      </c>
      <c r="AW32" s="49">
        <f t="shared" si="3"/>
        <v>159604.81874999998</v>
      </c>
      <c r="AX32">
        <f t="shared" si="14"/>
        <v>53866.626328124992</v>
      </c>
    </row>
    <row r="33" spans="1:50" x14ac:dyDescent="0.2">
      <c r="A33" s="57">
        <v>16</v>
      </c>
      <c r="B33" s="32" t="s">
        <v>120</v>
      </c>
      <c r="C33" s="31" t="s">
        <v>60</v>
      </c>
      <c r="D33" s="32" t="s">
        <v>67</v>
      </c>
      <c r="E33" s="56" t="s">
        <v>91</v>
      </c>
      <c r="F33" s="56">
        <v>10.09</v>
      </c>
      <c r="G33" s="56">
        <v>4.38</v>
      </c>
      <c r="H33" s="56">
        <v>17697</v>
      </c>
      <c r="I33" s="57">
        <f t="shared" si="4"/>
        <v>77512.86</v>
      </c>
      <c r="J33" s="57">
        <f t="shared" si="5"/>
        <v>116269.29000000001</v>
      </c>
      <c r="K33" s="56"/>
      <c r="L33" s="56">
        <f t="shared" si="15"/>
        <v>0</v>
      </c>
      <c r="M33" s="56">
        <v>2</v>
      </c>
      <c r="N33" s="56">
        <v>13</v>
      </c>
      <c r="O33" s="143">
        <v>5</v>
      </c>
      <c r="P33" s="57">
        <f t="shared" si="6"/>
        <v>14533.661250000001</v>
      </c>
      <c r="Q33" s="146">
        <f t="shared" si="7"/>
        <v>94468.798125000001</v>
      </c>
      <c r="R33" s="146">
        <f t="shared" si="8"/>
        <v>36334.153125000004</v>
      </c>
      <c r="S33" s="144">
        <f t="shared" si="9"/>
        <v>36334.153125000004</v>
      </c>
      <c r="T33" s="145">
        <f t="shared" si="10"/>
        <v>18167.076562500002</v>
      </c>
      <c r="U33" s="56"/>
      <c r="V33" s="56">
        <v>5</v>
      </c>
      <c r="W33" s="56">
        <v>3</v>
      </c>
      <c r="X33" s="56"/>
      <c r="Y33" s="56">
        <v>1106</v>
      </c>
      <c r="Z33" s="56">
        <v>663</v>
      </c>
      <c r="AA33" s="57">
        <v>16</v>
      </c>
      <c r="AB33" s="56"/>
      <c r="AC33" s="56"/>
      <c r="AD33" s="56"/>
      <c r="AE33" s="56"/>
      <c r="AF33" s="56"/>
      <c r="AG33" s="56"/>
      <c r="AH33" s="56"/>
      <c r="AI33" s="56"/>
      <c r="AJ33" s="30">
        <v>3539</v>
      </c>
      <c r="AK33" s="56"/>
      <c r="AL33" s="56"/>
      <c r="AM33" s="56"/>
      <c r="AN33" s="56"/>
      <c r="AO33" s="56"/>
      <c r="AP33" s="56"/>
      <c r="AQ33" s="48">
        <f t="shared" si="11"/>
        <v>54501.22968750001</v>
      </c>
      <c r="AR33" s="56"/>
      <c r="AS33" s="56"/>
      <c r="AT33" s="145">
        <f t="shared" si="2"/>
        <v>54501.22968750001</v>
      </c>
      <c r="AU33" s="146">
        <f t="shared" si="12"/>
        <v>259647.07187500005</v>
      </c>
      <c r="AV33">
        <f t="shared" si="13"/>
        <v>29067.322500000002</v>
      </c>
      <c r="AW33" s="49">
        <f t="shared" si="3"/>
        <v>145336.61250000002</v>
      </c>
      <c r="AX33">
        <f t="shared" si="14"/>
        <v>54501.22968750001</v>
      </c>
    </row>
    <row r="34" spans="1:50" x14ac:dyDescent="0.2">
      <c r="A34" s="57">
        <v>17</v>
      </c>
      <c r="B34" s="31" t="s">
        <v>191</v>
      </c>
      <c r="C34" s="16" t="s">
        <v>60</v>
      </c>
      <c r="D34" s="19" t="s">
        <v>128</v>
      </c>
      <c r="E34" s="56" t="s">
        <v>81</v>
      </c>
      <c r="F34" s="57">
        <v>6</v>
      </c>
      <c r="G34" s="57">
        <v>4.72</v>
      </c>
      <c r="H34" s="56">
        <v>17697</v>
      </c>
      <c r="I34" s="57">
        <f t="shared" si="4"/>
        <v>83529.84</v>
      </c>
      <c r="J34" s="57">
        <f t="shared" si="5"/>
        <v>125294.76</v>
      </c>
      <c r="K34" s="56"/>
      <c r="L34" s="56">
        <f t="shared" si="15"/>
        <v>0</v>
      </c>
      <c r="M34" s="56">
        <v>3</v>
      </c>
      <c r="N34" s="56">
        <v>13</v>
      </c>
      <c r="O34" s="143"/>
      <c r="P34" s="57">
        <f t="shared" si="6"/>
        <v>23492.767499999998</v>
      </c>
      <c r="Q34" s="146">
        <f t="shared" si="7"/>
        <v>101801.99249999999</v>
      </c>
      <c r="R34" s="146">
        <f t="shared" si="8"/>
        <v>0</v>
      </c>
      <c r="S34" s="144">
        <f t="shared" si="9"/>
        <v>31323.69</v>
      </c>
      <c r="T34" s="145">
        <f t="shared" si="10"/>
        <v>15661.844999999999</v>
      </c>
      <c r="U34" s="56"/>
      <c r="V34" s="56"/>
      <c r="W34" s="56"/>
      <c r="X34" s="56"/>
      <c r="Y34" s="56"/>
      <c r="Z34" s="56"/>
      <c r="AA34" s="57">
        <v>17</v>
      </c>
      <c r="AB34" s="56"/>
      <c r="AC34" s="56"/>
      <c r="AD34" s="56"/>
      <c r="AE34" s="56"/>
      <c r="AF34" s="56"/>
      <c r="AG34" s="56"/>
      <c r="AH34" s="56"/>
      <c r="AI34" s="56">
        <v>5309</v>
      </c>
      <c r="AJ34" s="56">
        <v>3539</v>
      </c>
      <c r="AK34" s="56"/>
      <c r="AL34" s="56"/>
      <c r="AM34" s="56"/>
      <c r="AN34" s="56">
        <f>(P34+Q34+R34+S34)*35%</f>
        <v>54816.45749999999</v>
      </c>
      <c r="AO34" s="56"/>
      <c r="AP34" s="56">
        <v>17697</v>
      </c>
      <c r="AQ34" s="48">
        <f t="shared" si="11"/>
        <v>46985.534999999996</v>
      </c>
      <c r="AR34" s="56"/>
      <c r="AS34" s="56"/>
      <c r="AT34" s="145">
        <f t="shared" si="2"/>
        <v>101801.99249999999</v>
      </c>
      <c r="AU34" s="146">
        <f t="shared" si="12"/>
        <v>300627.28749999998</v>
      </c>
      <c r="AV34">
        <f t="shared" si="13"/>
        <v>31323.69</v>
      </c>
      <c r="AW34" s="49">
        <f t="shared" si="3"/>
        <v>156618.44999999998</v>
      </c>
      <c r="AX34">
        <f t="shared" si="14"/>
        <v>46985.534999999996</v>
      </c>
    </row>
    <row r="35" spans="1:50" x14ac:dyDescent="0.2">
      <c r="A35" s="57">
        <v>18</v>
      </c>
      <c r="B35" s="31" t="s">
        <v>226</v>
      </c>
      <c r="C35" s="31" t="s">
        <v>60</v>
      </c>
      <c r="D35" s="31" t="s">
        <v>62</v>
      </c>
      <c r="E35" s="56" t="s">
        <v>80</v>
      </c>
      <c r="F35" s="56">
        <v>37</v>
      </c>
      <c r="G35" s="142">
        <v>5.41</v>
      </c>
      <c r="H35" s="56">
        <v>17697</v>
      </c>
      <c r="I35" s="57">
        <f t="shared" si="4"/>
        <v>95740.77</v>
      </c>
      <c r="J35" s="57">
        <f t="shared" si="5"/>
        <v>143611.155</v>
      </c>
      <c r="K35" s="56"/>
      <c r="L35" s="56">
        <f t="shared" si="15"/>
        <v>0</v>
      </c>
      <c r="M35" s="56"/>
      <c r="N35" s="56">
        <v>3</v>
      </c>
      <c r="O35" s="143">
        <v>6</v>
      </c>
      <c r="P35" s="57">
        <f t="shared" si="6"/>
        <v>0</v>
      </c>
      <c r="Q35" s="146">
        <f t="shared" si="7"/>
        <v>26927.091562499998</v>
      </c>
      <c r="R35" s="146">
        <f t="shared" si="8"/>
        <v>53854.183124999996</v>
      </c>
      <c r="S35" s="144">
        <f t="shared" si="9"/>
        <v>20195.318671875</v>
      </c>
      <c r="T35" s="145">
        <f t="shared" si="10"/>
        <v>10097.6593359375</v>
      </c>
      <c r="U35" s="56"/>
      <c r="V35" s="56">
        <v>3</v>
      </c>
      <c r="W35" s="56">
        <v>4</v>
      </c>
      <c r="X35" s="56"/>
      <c r="Y35" s="56">
        <v>829</v>
      </c>
      <c r="Z35" s="56">
        <v>1106</v>
      </c>
      <c r="AA35" s="57">
        <v>18</v>
      </c>
      <c r="AB35" s="56"/>
      <c r="AC35" s="56"/>
      <c r="AD35" s="56"/>
      <c r="AE35" s="56"/>
      <c r="AF35" s="56"/>
      <c r="AG35" s="56"/>
      <c r="AH35" s="56"/>
      <c r="AI35" s="56"/>
      <c r="AJ35" s="56"/>
      <c r="AK35" s="56"/>
      <c r="AL35" s="56"/>
      <c r="AM35" s="56"/>
      <c r="AN35" s="56"/>
      <c r="AO35" s="56"/>
      <c r="AP35" s="56"/>
      <c r="AQ35" s="48">
        <f t="shared" si="11"/>
        <v>30292.9780078125</v>
      </c>
      <c r="AR35" s="6"/>
      <c r="AS35" s="6"/>
      <c r="AT35" s="145">
        <f t="shared" si="2"/>
        <v>30292.9780078125</v>
      </c>
      <c r="AU35" s="146">
        <f t="shared" si="12"/>
        <v>143302.23070312498</v>
      </c>
      <c r="AV35">
        <f t="shared" si="13"/>
        <v>35902.78875</v>
      </c>
      <c r="AW35" s="49">
        <f t="shared" si="3"/>
        <v>179513.94375000001</v>
      </c>
      <c r="AX35">
        <f t="shared" si="14"/>
        <v>30292.9780078125</v>
      </c>
    </row>
    <row r="36" spans="1:50" x14ac:dyDescent="0.2">
      <c r="A36" s="57">
        <v>19</v>
      </c>
      <c r="B36" s="31" t="s">
        <v>127</v>
      </c>
      <c r="C36" s="32" t="s">
        <v>60</v>
      </c>
      <c r="D36" s="19" t="s">
        <v>61</v>
      </c>
      <c r="E36" s="56" t="s">
        <v>82</v>
      </c>
      <c r="F36" s="148">
        <v>6.02</v>
      </c>
      <c r="G36" s="57">
        <v>4.66</v>
      </c>
      <c r="H36" s="56">
        <v>17697</v>
      </c>
      <c r="I36" s="57">
        <f t="shared" si="4"/>
        <v>82468.02</v>
      </c>
      <c r="J36" s="57">
        <f t="shared" si="5"/>
        <v>123702.03</v>
      </c>
      <c r="K36" s="56">
        <v>1</v>
      </c>
      <c r="L36" s="56">
        <f t="shared" si="15"/>
        <v>5154.2512500000003</v>
      </c>
      <c r="M36" s="56">
        <v>4</v>
      </c>
      <c r="N36" s="57">
        <v>6</v>
      </c>
      <c r="O36" s="143">
        <v>7</v>
      </c>
      <c r="P36" s="57">
        <f t="shared" si="6"/>
        <v>30925.5075</v>
      </c>
      <c r="Q36" s="146">
        <f t="shared" si="7"/>
        <v>46388.261249999996</v>
      </c>
      <c r="R36" s="146">
        <f t="shared" si="8"/>
        <v>54119.638124999998</v>
      </c>
      <c r="S36" s="144">
        <f t="shared" si="9"/>
        <v>34146.914531249997</v>
      </c>
      <c r="T36" s="145">
        <f t="shared" si="10"/>
        <v>17073.457265624998</v>
      </c>
      <c r="U36" s="57">
        <v>4</v>
      </c>
      <c r="V36" s="57">
        <v>6</v>
      </c>
      <c r="W36" s="57">
        <v>6</v>
      </c>
      <c r="X36" s="57">
        <v>884</v>
      </c>
      <c r="Y36" s="57">
        <v>1327</v>
      </c>
      <c r="Z36" s="57">
        <v>1327</v>
      </c>
      <c r="AA36" s="57">
        <v>19</v>
      </c>
      <c r="AB36" s="57"/>
      <c r="AC36" s="57"/>
      <c r="AD36" s="57"/>
      <c r="AE36" s="57"/>
      <c r="AF36" s="57"/>
      <c r="AG36" s="57"/>
      <c r="AH36" s="57"/>
      <c r="AI36" s="57">
        <v>5309</v>
      </c>
      <c r="AJ36" s="57"/>
      <c r="AK36" s="57"/>
      <c r="AL36" s="57"/>
      <c r="AM36" s="57"/>
      <c r="AN36" s="56"/>
      <c r="AO36" s="57">
        <v>49288</v>
      </c>
      <c r="AP36" s="57"/>
      <c r="AQ36" s="48">
        <f t="shared" si="11"/>
        <v>49287.527578125002</v>
      </c>
      <c r="AR36" s="57"/>
      <c r="AS36" s="57"/>
      <c r="AT36" s="145">
        <f t="shared" si="2"/>
        <v>98575.527578125009</v>
      </c>
      <c r="AU36" s="146">
        <f t="shared" si="12"/>
        <v>295230.55749999994</v>
      </c>
      <c r="AV36">
        <f t="shared" si="13"/>
        <v>30925.5075</v>
      </c>
      <c r="AW36" s="49">
        <f t="shared" si="3"/>
        <v>154627.53750000001</v>
      </c>
      <c r="AX36">
        <f t="shared" si="14"/>
        <v>49287.527578125002</v>
      </c>
    </row>
    <row r="37" spans="1:50" x14ac:dyDescent="0.2">
      <c r="A37" s="57">
        <v>20</v>
      </c>
      <c r="B37" s="31" t="s">
        <v>212</v>
      </c>
      <c r="C37" s="31" t="s">
        <v>60</v>
      </c>
      <c r="D37" s="35" t="s">
        <v>65</v>
      </c>
      <c r="E37" s="56" t="s">
        <v>91</v>
      </c>
      <c r="F37" s="56">
        <v>12.03</v>
      </c>
      <c r="G37" s="56">
        <v>4.38</v>
      </c>
      <c r="H37" s="56">
        <v>17697</v>
      </c>
      <c r="I37" s="57">
        <f t="shared" si="4"/>
        <v>77512.86</v>
      </c>
      <c r="J37" s="57">
        <f t="shared" si="5"/>
        <v>116269.29000000001</v>
      </c>
      <c r="K37" s="56"/>
      <c r="L37" s="56">
        <f t="shared" si="15"/>
        <v>0</v>
      </c>
      <c r="M37" s="56"/>
      <c r="N37" s="56">
        <v>3</v>
      </c>
      <c r="O37" s="143">
        <v>5</v>
      </c>
      <c r="P37" s="57">
        <f t="shared" si="6"/>
        <v>0</v>
      </c>
      <c r="Q37" s="146">
        <f t="shared" si="7"/>
        <v>21800.491875</v>
      </c>
      <c r="R37" s="146">
        <f t="shared" si="8"/>
        <v>36334.153125000004</v>
      </c>
      <c r="S37" s="144">
        <f t="shared" si="9"/>
        <v>14533.661250000001</v>
      </c>
      <c r="T37" s="145">
        <f t="shared" si="10"/>
        <v>7266.8306250000014</v>
      </c>
      <c r="U37" s="56"/>
      <c r="V37" s="56"/>
      <c r="W37" s="56"/>
      <c r="X37" s="56"/>
      <c r="Y37" s="56"/>
      <c r="Z37" s="56"/>
      <c r="AA37" s="57">
        <v>20</v>
      </c>
      <c r="AB37" s="56"/>
      <c r="AC37" s="56"/>
      <c r="AD37" s="56"/>
      <c r="AE37" s="56"/>
      <c r="AF37" s="56"/>
      <c r="AG37" s="56"/>
      <c r="AH37" s="56"/>
      <c r="AI37" s="56"/>
      <c r="AJ37" s="56"/>
      <c r="AK37" s="56"/>
      <c r="AL37" s="56"/>
      <c r="AM37" s="56"/>
      <c r="AN37" s="56"/>
      <c r="AO37" s="56"/>
      <c r="AP37" s="56"/>
      <c r="AQ37" s="48">
        <f t="shared" si="11"/>
        <v>21800.491875000003</v>
      </c>
      <c r="AR37" s="57"/>
      <c r="AS37" s="57"/>
      <c r="AT37" s="145">
        <f t="shared" si="2"/>
        <v>21800.491875000003</v>
      </c>
      <c r="AU37" s="146">
        <f t="shared" si="12"/>
        <v>101735.62875000002</v>
      </c>
      <c r="AV37">
        <f t="shared" si="13"/>
        <v>29067.322500000002</v>
      </c>
      <c r="AW37" s="49">
        <f t="shared" si="3"/>
        <v>145336.61250000002</v>
      </c>
      <c r="AX37">
        <f t="shared" si="14"/>
        <v>21800.491875000003</v>
      </c>
    </row>
    <row r="38" spans="1:50" x14ac:dyDescent="0.2">
      <c r="A38" s="57">
        <v>21</v>
      </c>
      <c r="B38" s="32" t="s">
        <v>117</v>
      </c>
      <c r="C38" s="31" t="s">
        <v>60</v>
      </c>
      <c r="D38" s="35" t="s">
        <v>190</v>
      </c>
      <c r="E38" s="56" t="s">
        <v>91</v>
      </c>
      <c r="F38" s="56">
        <v>39</v>
      </c>
      <c r="G38" s="56">
        <v>4.7300000000000004</v>
      </c>
      <c r="H38" s="56">
        <v>17697</v>
      </c>
      <c r="I38" s="57">
        <f t="shared" si="4"/>
        <v>83706.810000000012</v>
      </c>
      <c r="J38" s="57">
        <f t="shared" si="5"/>
        <v>125560.21500000003</v>
      </c>
      <c r="K38" s="56"/>
      <c r="L38" s="56">
        <f t="shared" si="15"/>
        <v>0</v>
      </c>
      <c r="M38" s="56">
        <v>2</v>
      </c>
      <c r="N38" s="56"/>
      <c r="O38" s="143"/>
      <c r="P38" s="57">
        <f t="shared" si="6"/>
        <v>15695.026875000003</v>
      </c>
      <c r="Q38" s="146">
        <f t="shared" si="7"/>
        <v>0</v>
      </c>
      <c r="R38" s="146">
        <f t="shared" si="8"/>
        <v>0</v>
      </c>
      <c r="S38" s="144">
        <f t="shared" si="9"/>
        <v>3923.7567187500008</v>
      </c>
      <c r="T38" s="145">
        <f t="shared" si="10"/>
        <v>1961.8783593750006</v>
      </c>
      <c r="U38" s="56">
        <v>2</v>
      </c>
      <c r="V38" s="56"/>
      <c r="W38" s="56"/>
      <c r="X38" s="56">
        <v>553</v>
      </c>
      <c r="Y38" s="56"/>
      <c r="Z38" s="56"/>
      <c r="AA38" s="57">
        <v>21</v>
      </c>
      <c r="AB38" s="56"/>
      <c r="AC38" s="56"/>
      <c r="AD38" s="56"/>
      <c r="AE38" s="56"/>
      <c r="AF38" s="56"/>
      <c r="AG38" s="56"/>
      <c r="AH38" s="56"/>
      <c r="AI38" s="56"/>
      <c r="AJ38" s="56"/>
      <c r="AK38" s="56"/>
      <c r="AL38" s="56"/>
      <c r="AM38" s="56"/>
      <c r="AN38" s="56"/>
      <c r="AO38" s="56"/>
      <c r="AP38" s="56"/>
      <c r="AQ38" s="48">
        <f t="shared" si="11"/>
        <v>5885.6350781250012</v>
      </c>
      <c r="AR38" s="57"/>
      <c r="AS38" s="57"/>
      <c r="AT38" s="145">
        <f t="shared" si="2"/>
        <v>5885.6350781250012</v>
      </c>
      <c r="AU38" s="146">
        <f t="shared" si="12"/>
        <v>28019.297031250007</v>
      </c>
      <c r="AV38">
        <f t="shared" si="13"/>
        <v>31390.053750000006</v>
      </c>
      <c r="AW38" s="49">
        <f t="shared" si="3"/>
        <v>156950.26875000005</v>
      </c>
      <c r="AX38">
        <f t="shared" si="14"/>
        <v>5885.6350781250012</v>
      </c>
    </row>
    <row r="39" spans="1:50" x14ac:dyDescent="0.2">
      <c r="A39" s="57">
        <v>22</v>
      </c>
      <c r="B39" s="32" t="s">
        <v>119</v>
      </c>
      <c r="C39" s="31" t="s">
        <v>60</v>
      </c>
      <c r="D39" s="31" t="s">
        <v>227</v>
      </c>
      <c r="E39" s="56" t="s">
        <v>91</v>
      </c>
      <c r="F39" s="56">
        <v>40</v>
      </c>
      <c r="G39" s="142">
        <v>4.7300000000000004</v>
      </c>
      <c r="H39" s="56">
        <v>17697</v>
      </c>
      <c r="I39" s="57">
        <f t="shared" si="4"/>
        <v>83706.810000000012</v>
      </c>
      <c r="J39" s="57">
        <f t="shared" si="5"/>
        <v>125560.21500000003</v>
      </c>
      <c r="K39" s="56"/>
      <c r="L39" s="56">
        <f t="shared" si="15"/>
        <v>0</v>
      </c>
      <c r="M39" s="56">
        <v>3</v>
      </c>
      <c r="N39" s="56"/>
      <c r="O39" s="143"/>
      <c r="P39" s="57">
        <f t="shared" si="6"/>
        <v>23542.540312500005</v>
      </c>
      <c r="Q39" s="146">
        <f t="shared" si="7"/>
        <v>0</v>
      </c>
      <c r="R39" s="146">
        <f t="shared" si="8"/>
        <v>0</v>
      </c>
      <c r="S39" s="144">
        <f t="shared" si="9"/>
        <v>5885.6350781250012</v>
      </c>
      <c r="T39" s="145">
        <f t="shared" si="10"/>
        <v>2942.8175390625006</v>
      </c>
      <c r="U39" s="56">
        <v>2</v>
      </c>
      <c r="V39" s="56"/>
      <c r="W39" s="56"/>
      <c r="X39" s="56">
        <v>553</v>
      </c>
      <c r="Y39" s="56"/>
      <c r="Z39" s="56"/>
      <c r="AA39" s="57">
        <v>22</v>
      </c>
      <c r="AB39" s="56"/>
      <c r="AC39" s="56"/>
      <c r="AD39" s="56"/>
      <c r="AE39" s="56"/>
      <c r="AF39" s="56"/>
      <c r="AG39" s="56"/>
      <c r="AH39" s="56"/>
      <c r="AI39" s="56"/>
      <c r="AJ39" s="56"/>
      <c r="AK39" s="56"/>
      <c r="AL39" s="56"/>
      <c r="AM39" s="56"/>
      <c r="AN39" s="56"/>
      <c r="AO39" s="56"/>
      <c r="AP39" s="56"/>
      <c r="AQ39" s="48">
        <f t="shared" si="11"/>
        <v>8828.4526171875023</v>
      </c>
      <c r="AR39" s="57"/>
      <c r="AS39" s="57"/>
      <c r="AT39" s="145">
        <f t="shared" si="2"/>
        <v>8828.4526171875023</v>
      </c>
      <c r="AU39" s="146">
        <f t="shared" si="12"/>
        <v>41752.445546875009</v>
      </c>
      <c r="AV39">
        <f t="shared" si="13"/>
        <v>31390.053750000006</v>
      </c>
      <c r="AW39" s="49">
        <f t="shared" si="3"/>
        <v>156950.26875000005</v>
      </c>
      <c r="AX39">
        <f t="shared" si="14"/>
        <v>8828.4526171875023</v>
      </c>
    </row>
    <row r="40" spans="1:50" x14ac:dyDescent="0.2">
      <c r="A40" s="57">
        <v>23</v>
      </c>
      <c r="B40" s="31" t="s">
        <v>115</v>
      </c>
      <c r="C40" s="31" t="s">
        <v>63</v>
      </c>
      <c r="D40" s="31" t="s">
        <v>229</v>
      </c>
      <c r="E40" s="56" t="s">
        <v>83</v>
      </c>
      <c r="F40" s="56">
        <v>39.04</v>
      </c>
      <c r="G40" s="56">
        <v>4.3899999999999997</v>
      </c>
      <c r="H40" s="57">
        <v>17697</v>
      </c>
      <c r="I40" s="57">
        <f t="shared" si="4"/>
        <v>77689.829999999987</v>
      </c>
      <c r="J40" s="57">
        <f t="shared" si="5"/>
        <v>116534.74499999998</v>
      </c>
      <c r="K40" s="57"/>
      <c r="L40" s="56">
        <f t="shared" si="15"/>
        <v>0</v>
      </c>
      <c r="M40" s="56"/>
      <c r="N40" s="56">
        <v>5</v>
      </c>
      <c r="O40" s="143"/>
      <c r="P40" s="57">
        <f t="shared" si="6"/>
        <v>0</v>
      </c>
      <c r="Q40" s="146">
        <f t="shared" si="7"/>
        <v>36417.107812499991</v>
      </c>
      <c r="R40" s="146">
        <f t="shared" si="8"/>
        <v>0</v>
      </c>
      <c r="S40" s="144">
        <f t="shared" si="9"/>
        <v>9104.2769531249978</v>
      </c>
      <c r="T40" s="145">
        <f t="shared" si="10"/>
        <v>4552.1384765624989</v>
      </c>
      <c r="U40" s="56"/>
      <c r="V40" s="56"/>
      <c r="W40" s="56"/>
      <c r="X40" s="56"/>
      <c r="Y40" s="56"/>
      <c r="Z40" s="56"/>
      <c r="AA40" s="57">
        <v>23</v>
      </c>
      <c r="AB40" s="56"/>
      <c r="AC40" s="56"/>
      <c r="AD40" s="56"/>
      <c r="AE40" s="56"/>
      <c r="AF40" s="56"/>
      <c r="AG40" s="56"/>
      <c r="AH40" s="56"/>
      <c r="AI40" s="56"/>
      <c r="AJ40" s="30">
        <v>3539</v>
      </c>
      <c r="AK40" s="56"/>
      <c r="AL40" s="56"/>
      <c r="AM40" s="56"/>
      <c r="AN40" s="56">
        <f>(P40+Q40+R40+S40)*35%</f>
        <v>15932.484667968743</v>
      </c>
      <c r="AO40" s="56"/>
      <c r="AP40" s="56"/>
      <c r="AQ40" s="48">
        <f t="shared" si="11"/>
        <v>13656.415429687495</v>
      </c>
      <c r="AR40" s="57"/>
      <c r="AS40" s="57"/>
      <c r="AT40" s="145">
        <f t="shared" si="2"/>
        <v>29588.900097656238</v>
      </c>
      <c r="AU40" s="146">
        <f t="shared" si="12"/>
        <v>83201.423339843721</v>
      </c>
      <c r="AV40">
        <f t="shared" si="13"/>
        <v>29133.686249999995</v>
      </c>
      <c r="AW40" s="49">
        <f t="shared" si="3"/>
        <v>145668.43124999997</v>
      </c>
      <c r="AX40">
        <f t="shared" si="14"/>
        <v>13656.415429687495</v>
      </c>
    </row>
    <row r="41" spans="1:50" x14ac:dyDescent="0.2">
      <c r="A41" s="57">
        <v>23</v>
      </c>
      <c r="B41" s="31" t="s">
        <v>115</v>
      </c>
      <c r="C41" s="31" t="s">
        <v>63</v>
      </c>
      <c r="D41" s="31" t="s">
        <v>41</v>
      </c>
      <c r="E41" s="56" t="s">
        <v>84</v>
      </c>
      <c r="F41" s="56">
        <v>39.04</v>
      </c>
      <c r="G41" s="56">
        <v>3.73</v>
      </c>
      <c r="H41" s="57">
        <v>17697</v>
      </c>
      <c r="I41" s="57">
        <f t="shared" ref="I41" si="17">G41*H41</f>
        <v>66009.81</v>
      </c>
      <c r="J41" s="57">
        <f t="shared" ref="J41" si="18">I41*1.5</f>
        <v>99014.714999999997</v>
      </c>
      <c r="K41" s="57"/>
      <c r="L41" s="56">
        <f t="shared" ref="L41" si="19">J41/24*K41</f>
        <v>0</v>
      </c>
      <c r="M41" s="56"/>
      <c r="N41" s="56"/>
      <c r="O41" s="143">
        <v>4</v>
      </c>
      <c r="P41" s="57">
        <f t="shared" ref="P41" si="20">J41/16*M41</f>
        <v>0</v>
      </c>
      <c r="Q41" s="146">
        <f t="shared" ref="Q41" si="21">J41/16*N41</f>
        <v>0</v>
      </c>
      <c r="R41" s="146">
        <f t="shared" ref="R41" si="22">J41/16*O41</f>
        <v>24753.678749999999</v>
      </c>
      <c r="S41" s="144">
        <f t="shared" ref="S41" si="23">(L41+P41+Q41+R41)*25%</f>
        <v>6188.4196874999998</v>
      </c>
      <c r="T41" s="145">
        <f t="shared" ref="T41" si="24">(P41+Q41+R41+L41+S41)*10%</f>
        <v>3094.2098437499999</v>
      </c>
      <c r="U41" s="56"/>
      <c r="V41" s="56"/>
      <c r="W41" s="56">
        <v>4</v>
      </c>
      <c r="X41" s="56"/>
      <c r="Y41" s="56"/>
      <c r="Z41" s="56">
        <v>884</v>
      </c>
      <c r="AA41" s="57">
        <v>23</v>
      </c>
      <c r="AB41" s="56"/>
      <c r="AC41" s="56"/>
      <c r="AD41" s="56"/>
      <c r="AE41" s="56"/>
      <c r="AF41" s="56"/>
      <c r="AG41" s="56"/>
      <c r="AH41" s="56"/>
      <c r="AI41" s="56"/>
      <c r="AJ41" s="30"/>
      <c r="AK41" s="56"/>
      <c r="AL41" s="56"/>
      <c r="AM41" s="56"/>
      <c r="AN41" s="56"/>
      <c r="AO41" s="56"/>
      <c r="AP41" s="56"/>
      <c r="AQ41" s="48">
        <f t="shared" ref="AQ41" si="25">AX41</f>
        <v>9282.6295312499988</v>
      </c>
      <c r="AR41" s="57"/>
      <c r="AS41" s="57"/>
      <c r="AT41" s="145">
        <f t="shared" ref="AT41" si="26">AM41+AN41+AO41+AQ41</f>
        <v>9282.6295312499988</v>
      </c>
      <c r="AU41" s="146">
        <f t="shared" ref="AU41" si="27">P41+Q41+R41+S41+T41+X41+Y41+Z41+AH41+AI41+AJ41+AK41+AL41+AM41+AN41+AO41+AQ41+AR41+AS41+L41+AP41+AG41+AF41+AE41</f>
        <v>44202.9378125</v>
      </c>
      <c r="AV41">
        <f t="shared" ref="AV41" si="28">J41*25%</f>
        <v>24753.678749999999</v>
      </c>
      <c r="AW41" s="49">
        <f t="shared" ref="AW41" si="29">AV41+J41</f>
        <v>123768.39374999999</v>
      </c>
      <c r="AX41">
        <f t="shared" ref="AX41" si="30">AW41/16*(M41+N41+O41)*30%</f>
        <v>9282.6295312499988</v>
      </c>
    </row>
    <row r="42" spans="1:50" x14ac:dyDescent="0.2">
      <c r="A42" s="57">
        <v>24</v>
      </c>
      <c r="B42" s="32" t="s">
        <v>121</v>
      </c>
      <c r="C42" s="31" t="s">
        <v>63</v>
      </c>
      <c r="D42" s="19" t="s">
        <v>229</v>
      </c>
      <c r="E42" s="57" t="s">
        <v>93</v>
      </c>
      <c r="F42" s="57">
        <v>17.04</v>
      </c>
      <c r="G42" s="57">
        <v>4.16</v>
      </c>
      <c r="H42" s="56">
        <v>17697</v>
      </c>
      <c r="I42" s="57">
        <f t="shared" si="4"/>
        <v>73619.520000000004</v>
      </c>
      <c r="J42" s="57">
        <f t="shared" si="5"/>
        <v>110429.28</v>
      </c>
      <c r="K42" s="57"/>
      <c r="L42" s="56">
        <f t="shared" si="15"/>
        <v>0</v>
      </c>
      <c r="M42" s="56"/>
      <c r="N42" s="57">
        <v>4</v>
      </c>
      <c r="O42" s="143"/>
      <c r="P42" s="57">
        <f t="shared" si="6"/>
        <v>0</v>
      </c>
      <c r="Q42" s="146">
        <f t="shared" si="7"/>
        <v>27607.32</v>
      </c>
      <c r="R42" s="146">
        <f t="shared" si="8"/>
        <v>0</v>
      </c>
      <c r="S42" s="144">
        <f t="shared" si="9"/>
        <v>6901.83</v>
      </c>
      <c r="T42" s="145">
        <f t="shared" si="10"/>
        <v>3450.9150000000004</v>
      </c>
      <c r="U42" s="57"/>
      <c r="V42" s="57"/>
      <c r="W42" s="57"/>
      <c r="X42" s="57"/>
      <c r="Y42" s="57"/>
      <c r="Z42" s="57"/>
      <c r="AA42" s="57">
        <v>24</v>
      </c>
      <c r="AB42" s="57"/>
      <c r="AC42" s="57"/>
      <c r="AD42" s="57"/>
      <c r="AE42" s="57"/>
      <c r="AF42" s="57"/>
      <c r="AG42" s="57"/>
      <c r="AH42" s="57"/>
      <c r="AI42" s="57"/>
      <c r="AJ42" s="15">
        <v>3539</v>
      </c>
      <c r="AK42" s="57"/>
      <c r="AL42" s="57"/>
      <c r="AM42" s="57"/>
      <c r="AN42" s="57"/>
      <c r="AO42" s="57"/>
      <c r="AP42" s="57"/>
      <c r="AQ42" s="48">
        <f t="shared" si="11"/>
        <v>10352.745000000001</v>
      </c>
      <c r="AR42" s="57"/>
      <c r="AS42" s="57"/>
      <c r="AT42" s="145">
        <f t="shared" si="2"/>
        <v>10352.745000000001</v>
      </c>
      <c r="AU42" s="146">
        <f t="shared" si="12"/>
        <v>51851.810000000005</v>
      </c>
      <c r="AV42">
        <f t="shared" si="13"/>
        <v>27607.32</v>
      </c>
      <c r="AW42" s="49">
        <f t="shared" si="3"/>
        <v>138036.6</v>
      </c>
      <c r="AX42">
        <f t="shared" si="14"/>
        <v>10352.745000000001</v>
      </c>
    </row>
    <row r="43" spans="1:50" x14ac:dyDescent="0.2">
      <c r="A43" s="57">
        <v>24</v>
      </c>
      <c r="B43" s="32" t="s">
        <v>121</v>
      </c>
      <c r="C43" s="31" t="s">
        <v>63</v>
      </c>
      <c r="D43" s="19" t="s">
        <v>41</v>
      </c>
      <c r="E43" s="57" t="s">
        <v>84</v>
      </c>
      <c r="F43" s="57">
        <v>17.04</v>
      </c>
      <c r="G43" s="56">
        <v>3.65</v>
      </c>
      <c r="H43" s="56">
        <v>17697</v>
      </c>
      <c r="I43" s="57">
        <f t="shared" ref="I43" si="31">G43*H43</f>
        <v>64594.049999999996</v>
      </c>
      <c r="J43" s="57">
        <f t="shared" ref="J43" si="32">I43*1.5</f>
        <v>96891.074999999997</v>
      </c>
      <c r="K43" s="57"/>
      <c r="L43" s="56">
        <f t="shared" ref="L43" si="33">J43/24*K43</f>
        <v>0</v>
      </c>
      <c r="M43" s="56"/>
      <c r="N43" s="57"/>
      <c r="O43" s="143">
        <v>4</v>
      </c>
      <c r="P43" s="57">
        <f t="shared" ref="P43" si="34">J43/16*M43</f>
        <v>0</v>
      </c>
      <c r="Q43" s="146">
        <f t="shared" ref="Q43" si="35">J43/16*N43</f>
        <v>0</v>
      </c>
      <c r="R43" s="146">
        <f t="shared" ref="R43" si="36">J43/16*O43</f>
        <v>24222.768749999999</v>
      </c>
      <c r="S43" s="144">
        <f t="shared" ref="S43" si="37">(L43+P43+Q43+R43)*25%</f>
        <v>6055.6921874999998</v>
      </c>
      <c r="T43" s="145">
        <f t="shared" ref="T43" si="38">(P43+Q43+R43+L43+S43)*10%</f>
        <v>3027.8460937500004</v>
      </c>
      <c r="U43" s="57"/>
      <c r="V43" s="57"/>
      <c r="W43" s="57">
        <v>4</v>
      </c>
      <c r="X43" s="57"/>
      <c r="Y43" s="57"/>
      <c r="Z43" s="57">
        <v>884</v>
      </c>
      <c r="AA43" s="57">
        <v>24</v>
      </c>
      <c r="AB43" s="57"/>
      <c r="AC43" s="57"/>
      <c r="AD43" s="57"/>
      <c r="AE43" s="57"/>
      <c r="AF43" s="57"/>
      <c r="AG43" s="57"/>
      <c r="AH43" s="57"/>
      <c r="AI43" s="57"/>
      <c r="AJ43" s="15"/>
      <c r="AK43" s="57"/>
      <c r="AL43" s="57"/>
      <c r="AM43" s="57"/>
      <c r="AN43" s="57"/>
      <c r="AO43" s="57"/>
      <c r="AP43" s="57"/>
      <c r="AQ43" s="48">
        <f t="shared" ref="AQ43" si="39">AX43</f>
        <v>9083.5382812499993</v>
      </c>
      <c r="AR43" s="57"/>
      <c r="AS43" s="57"/>
      <c r="AT43" s="145">
        <f t="shared" ref="AT43" si="40">AM43+AN43+AO43+AQ43</f>
        <v>9083.5382812499993</v>
      </c>
      <c r="AU43" s="146">
        <f t="shared" ref="AU43" si="41">P43+Q43+R43+S43+T43+X43+Y43+Z43+AH43+AI43+AJ43+AK43+AL43+AM43+AN43+AO43+AQ43+AR43+AS43+L43+AP43+AG43+AF43+AE43</f>
        <v>43273.845312499994</v>
      </c>
      <c r="AV43">
        <f t="shared" ref="AV43" si="42">J43*25%</f>
        <v>24222.768749999999</v>
      </c>
      <c r="AW43" s="49">
        <f t="shared" ref="AW43" si="43">AV43+J43</f>
        <v>121113.84375</v>
      </c>
      <c r="AX43">
        <f t="shared" ref="AX43" si="44">AW43/16*(M43+N43+O43)*30%</f>
        <v>9083.5382812499993</v>
      </c>
    </row>
    <row r="44" spans="1:50" x14ac:dyDescent="0.2">
      <c r="A44" s="57">
        <v>25</v>
      </c>
      <c r="B44" s="31" t="s">
        <v>118</v>
      </c>
      <c r="C44" s="31" t="s">
        <v>60</v>
      </c>
      <c r="D44" s="31" t="s">
        <v>66</v>
      </c>
      <c r="E44" s="56" t="s">
        <v>91</v>
      </c>
      <c r="F44" s="56">
        <v>3</v>
      </c>
      <c r="G44" s="34">
        <v>4.2300000000000004</v>
      </c>
      <c r="H44" s="56">
        <v>17697</v>
      </c>
      <c r="I44" s="57">
        <f t="shared" si="4"/>
        <v>74858.310000000012</v>
      </c>
      <c r="J44" s="57">
        <f t="shared" si="5"/>
        <v>112287.46500000003</v>
      </c>
      <c r="K44" s="57"/>
      <c r="L44" s="56">
        <f t="shared" si="15"/>
        <v>0</v>
      </c>
      <c r="M44" s="56">
        <v>16</v>
      </c>
      <c r="N44" s="56"/>
      <c r="O44" s="143"/>
      <c r="P44" s="57">
        <f t="shared" si="6"/>
        <v>112287.46500000003</v>
      </c>
      <c r="Q44" s="146">
        <f t="shared" si="7"/>
        <v>0</v>
      </c>
      <c r="R44" s="146">
        <f t="shared" si="8"/>
        <v>0</v>
      </c>
      <c r="S44" s="144">
        <f t="shared" si="9"/>
        <v>28071.866250000006</v>
      </c>
      <c r="T44" s="145">
        <f t="shared" si="10"/>
        <v>14035.933125000005</v>
      </c>
      <c r="U44" s="56">
        <v>12</v>
      </c>
      <c r="V44" s="56"/>
      <c r="W44" s="56"/>
      <c r="X44" s="56">
        <v>2654</v>
      </c>
      <c r="Y44" s="56"/>
      <c r="Z44" s="56"/>
      <c r="AA44" s="57">
        <v>25</v>
      </c>
      <c r="AB44" s="56"/>
      <c r="AC44" s="56"/>
      <c r="AD44" s="56"/>
      <c r="AE44" s="56"/>
      <c r="AF44" s="56"/>
      <c r="AG44" s="56"/>
      <c r="AH44" s="56">
        <v>4424</v>
      </c>
      <c r="AI44" s="56"/>
      <c r="AJ44" s="56">
        <v>3539</v>
      </c>
      <c r="AK44" s="56"/>
      <c r="AL44" s="56"/>
      <c r="AM44" s="56"/>
      <c r="AN44" s="56"/>
      <c r="AO44" s="56"/>
      <c r="AP44" s="56"/>
      <c r="AQ44" s="48">
        <f t="shared" si="11"/>
        <v>42107.79937500001</v>
      </c>
      <c r="AR44" s="6"/>
      <c r="AS44" s="6"/>
      <c r="AT44" s="145">
        <f t="shared" si="2"/>
        <v>42107.79937500001</v>
      </c>
      <c r="AU44" s="146">
        <f t="shared" si="12"/>
        <v>207120.06375000006</v>
      </c>
      <c r="AV44">
        <f t="shared" si="13"/>
        <v>28071.866250000006</v>
      </c>
      <c r="AW44" s="49">
        <f t="shared" si="3"/>
        <v>140359.33125000005</v>
      </c>
      <c r="AX44">
        <f t="shared" si="14"/>
        <v>42107.79937500001</v>
      </c>
    </row>
    <row r="45" spans="1:50" x14ac:dyDescent="0.2">
      <c r="A45" s="57">
        <v>26</v>
      </c>
      <c r="B45" s="31" t="s">
        <v>129</v>
      </c>
      <c r="C45" s="31" t="s">
        <v>63</v>
      </c>
      <c r="D45" s="31" t="s">
        <v>104</v>
      </c>
      <c r="E45" s="56" t="s">
        <v>84</v>
      </c>
      <c r="F45" s="56">
        <v>3</v>
      </c>
      <c r="G45" s="34">
        <v>3.45</v>
      </c>
      <c r="H45" s="56">
        <v>17697</v>
      </c>
      <c r="I45" s="57">
        <f t="shared" si="4"/>
        <v>61054.65</v>
      </c>
      <c r="J45" s="57">
        <f t="shared" si="5"/>
        <v>91581.975000000006</v>
      </c>
      <c r="K45" s="57">
        <v>24</v>
      </c>
      <c r="L45" s="56">
        <f t="shared" si="15"/>
        <v>91581.975000000006</v>
      </c>
      <c r="M45" s="56"/>
      <c r="N45" s="56"/>
      <c r="O45" s="143"/>
      <c r="P45" s="57">
        <f t="shared" si="6"/>
        <v>0</v>
      </c>
      <c r="Q45" s="146">
        <f t="shared" si="7"/>
        <v>0</v>
      </c>
      <c r="R45" s="146">
        <f t="shared" si="8"/>
        <v>0</v>
      </c>
      <c r="S45" s="144">
        <f t="shared" si="9"/>
        <v>22895.493750000001</v>
      </c>
      <c r="T45" s="145">
        <f t="shared" si="10"/>
        <v>11447.746875000001</v>
      </c>
      <c r="U45" s="57"/>
      <c r="V45" s="57"/>
      <c r="W45" s="57"/>
      <c r="X45" s="57"/>
      <c r="Y45" s="57"/>
      <c r="Z45" s="57"/>
      <c r="AA45" s="57">
        <v>26</v>
      </c>
      <c r="AB45" s="57"/>
      <c r="AC45" s="57"/>
      <c r="AD45" s="57"/>
      <c r="AE45" s="57"/>
      <c r="AF45" s="57"/>
      <c r="AG45" s="57"/>
      <c r="AH45" s="57"/>
      <c r="AI45" s="56"/>
      <c r="AJ45" s="57"/>
      <c r="AK45" s="57"/>
      <c r="AL45" s="57"/>
      <c r="AM45" s="57"/>
      <c r="AN45" s="57"/>
      <c r="AO45" s="57"/>
      <c r="AP45" s="57"/>
      <c r="AQ45" s="48">
        <f t="shared" si="11"/>
        <v>0</v>
      </c>
      <c r="AR45" s="57"/>
      <c r="AS45" s="57"/>
      <c r="AT45" s="145">
        <f t="shared" si="2"/>
        <v>0</v>
      </c>
      <c r="AU45" s="146">
        <f t="shared" si="12"/>
        <v>125925.21562500001</v>
      </c>
      <c r="AV45">
        <f t="shared" si="13"/>
        <v>22895.493750000001</v>
      </c>
      <c r="AW45" s="49">
        <f t="shared" si="3"/>
        <v>114477.46875</v>
      </c>
      <c r="AX45">
        <f t="shared" si="14"/>
        <v>0</v>
      </c>
    </row>
    <row r="46" spans="1:50" x14ac:dyDescent="0.2">
      <c r="A46" s="57">
        <v>27</v>
      </c>
      <c r="B46" s="31" t="s">
        <v>186</v>
      </c>
      <c r="C46" s="31" t="s">
        <v>63</v>
      </c>
      <c r="D46" s="19" t="s">
        <v>61</v>
      </c>
      <c r="E46" s="56" t="s">
        <v>84</v>
      </c>
      <c r="F46" s="56">
        <v>2</v>
      </c>
      <c r="G46" s="34">
        <v>3.41</v>
      </c>
      <c r="H46" s="56">
        <v>17697</v>
      </c>
      <c r="I46" s="57">
        <f t="shared" si="4"/>
        <v>60346.770000000004</v>
      </c>
      <c r="J46" s="57">
        <f t="shared" si="5"/>
        <v>90520.154999999999</v>
      </c>
      <c r="K46" s="57"/>
      <c r="L46" s="56">
        <f t="shared" si="15"/>
        <v>0</v>
      </c>
      <c r="M46" s="56">
        <v>5</v>
      </c>
      <c r="N46" s="56">
        <v>11</v>
      </c>
      <c r="O46" s="143"/>
      <c r="P46" s="57">
        <f t="shared" si="6"/>
        <v>28287.548437500001</v>
      </c>
      <c r="Q46" s="146">
        <f t="shared" si="7"/>
        <v>62232.606562499997</v>
      </c>
      <c r="R46" s="146">
        <f t="shared" si="8"/>
        <v>0</v>
      </c>
      <c r="S46" s="144">
        <f t="shared" si="9"/>
        <v>22630.03875</v>
      </c>
      <c r="T46" s="145">
        <f t="shared" si="10"/>
        <v>11315.019375000002</v>
      </c>
      <c r="U46" s="57">
        <v>4</v>
      </c>
      <c r="V46" s="57">
        <v>9</v>
      </c>
      <c r="W46" s="57"/>
      <c r="X46" s="57">
        <v>884</v>
      </c>
      <c r="Y46" s="57">
        <v>1990</v>
      </c>
      <c r="Z46" s="57"/>
      <c r="AA46" s="57">
        <v>27</v>
      </c>
      <c r="AB46" s="57"/>
      <c r="AC46" s="57"/>
      <c r="AD46" s="57"/>
      <c r="AE46" s="57"/>
      <c r="AF46" s="57"/>
      <c r="AG46" s="57"/>
      <c r="AH46" s="57"/>
      <c r="AI46" s="56">
        <v>5309</v>
      </c>
      <c r="AJ46" s="57">
        <v>3539</v>
      </c>
      <c r="AK46" s="57"/>
      <c r="AL46" s="57"/>
      <c r="AM46" s="57"/>
      <c r="AN46" s="57"/>
      <c r="AO46" s="57"/>
      <c r="AP46" s="57">
        <v>0</v>
      </c>
      <c r="AQ46" s="48">
        <f t="shared" si="11"/>
        <v>33945.058125000003</v>
      </c>
      <c r="AR46" s="57"/>
      <c r="AS46" s="57"/>
      <c r="AT46" s="145">
        <f t="shared" si="2"/>
        <v>33945.058125000003</v>
      </c>
      <c r="AU46" s="146">
        <f t="shared" si="12"/>
        <v>170132.27125000002</v>
      </c>
      <c r="AV46">
        <f t="shared" si="13"/>
        <v>22630.03875</v>
      </c>
      <c r="AW46" s="49">
        <f t="shared" si="3"/>
        <v>113150.19375000001</v>
      </c>
      <c r="AX46">
        <f t="shared" si="14"/>
        <v>33945.058125000003</v>
      </c>
    </row>
    <row r="47" spans="1:50" x14ac:dyDescent="0.2">
      <c r="A47" s="57">
        <v>28</v>
      </c>
      <c r="B47" s="31" t="s">
        <v>228</v>
      </c>
      <c r="C47" s="31" t="s">
        <v>60</v>
      </c>
      <c r="D47" s="19" t="s">
        <v>69</v>
      </c>
      <c r="E47" s="56" t="s">
        <v>91</v>
      </c>
      <c r="F47" s="56">
        <v>8.6</v>
      </c>
      <c r="G47" s="34">
        <v>4.33</v>
      </c>
      <c r="H47" s="56">
        <v>17697</v>
      </c>
      <c r="I47" s="57">
        <f t="shared" si="4"/>
        <v>76628.009999999995</v>
      </c>
      <c r="J47" s="57">
        <f t="shared" si="5"/>
        <v>114942.01499999998</v>
      </c>
      <c r="K47" s="57"/>
      <c r="L47" s="56">
        <f t="shared" si="15"/>
        <v>0</v>
      </c>
      <c r="M47" s="56"/>
      <c r="N47" s="56">
        <v>6</v>
      </c>
      <c r="O47" s="143">
        <v>1</v>
      </c>
      <c r="P47" s="57">
        <f t="shared" si="6"/>
        <v>0</v>
      </c>
      <c r="Q47" s="146">
        <f t="shared" si="7"/>
        <v>43103.255624999991</v>
      </c>
      <c r="R47" s="146">
        <f t="shared" si="8"/>
        <v>7183.8759374999991</v>
      </c>
      <c r="S47" s="144">
        <f t="shared" si="9"/>
        <v>12571.782890624998</v>
      </c>
      <c r="T47" s="145">
        <f t="shared" si="10"/>
        <v>6285.8914453124999</v>
      </c>
      <c r="U47" s="57"/>
      <c r="V47" s="57">
        <v>5</v>
      </c>
      <c r="W47" s="57"/>
      <c r="X47" s="57">
        <v>1382</v>
      </c>
      <c r="Y47" s="57"/>
      <c r="Z47" s="57"/>
      <c r="AA47" s="57"/>
      <c r="AB47" s="57"/>
      <c r="AC47" s="57"/>
      <c r="AD47" s="57"/>
      <c r="AE47" s="57"/>
      <c r="AF47" s="57"/>
      <c r="AG47" s="57"/>
      <c r="AH47" s="57"/>
      <c r="AI47" s="56"/>
      <c r="AJ47" s="57"/>
      <c r="AK47" s="57"/>
      <c r="AL47" s="57"/>
      <c r="AM47" s="57"/>
      <c r="AN47" s="57"/>
      <c r="AO47" s="57"/>
      <c r="AP47" s="57"/>
      <c r="AQ47" s="48">
        <f t="shared" si="11"/>
        <v>18857.674335937496</v>
      </c>
      <c r="AR47" s="57"/>
      <c r="AS47" s="57"/>
      <c r="AT47" s="145">
        <f t="shared" si="2"/>
        <v>18857.674335937496</v>
      </c>
      <c r="AU47" s="146">
        <f t="shared" si="12"/>
        <v>89384.480234374991</v>
      </c>
      <c r="AV47">
        <f t="shared" si="13"/>
        <v>28735.503749999996</v>
      </c>
      <c r="AW47" s="49">
        <f t="shared" si="3"/>
        <v>143677.51874999999</v>
      </c>
      <c r="AX47">
        <f t="shared" si="14"/>
        <v>18857.674335937496</v>
      </c>
    </row>
    <row r="48" spans="1:50" x14ac:dyDescent="0.2">
      <c r="A48" s="57"/>
      <c r="B48" s="6"/>
      <c r="C48" s="57"/>
      <c r="D48" s="57"/>
      <c r="E48" s="57"/>
      <c r="F48" s="57"/>
      <c r="G48" s="57"/>
      <c r="H48" s="57"/>
      <c r="I48" s="215">
        <f>SUM(I18:I46)</f>
        <v>2402544.7200000007</v>
      </c>
      <c r="J48" s="215">
        <f t="shared" ref="J48:AX48" si="45">SUM(J18:J47)</f>
        <v>3718759.0949999993</v>
      </c>
      <c r="K48" s="215">
        <f t="shared" si="45"/>
        <v>27</v>
      </c>
      <c r="L48" s="215">
        <f t="shared" si="45"/>
        <v>107288.0625</v>
      </c>
      <c r="M48" s="215">
        <f t="shared" si="45"/>
        <v>100</v>
      </c>
      <c r="N48" s="215">
        <f t="shared" si="45"/>
        <v>167</v>
      </c>
      <c r="O48" s="215">
        <f t="shared" si="45"/>
        <v>72</v>
      </c>
      <c r="P48" s="215">
        <f t="shared" si="45"/>
        <v>816440.03437499993</v>
      </c>
      <c r="Q48" s="215">
        <f t="shared" si="45"/>
        <v>1307465.420625</v>
      </c>
      <c r="R48" s="215">
        <f t="shared" si="45"/>
        <v>569069.15625000012</v>
      </c>
      <c r="S48" s="215">
        <f t="shared" si="45"/>
        <v>700065.6684374999</v>
      </c>
      <c r="T48" s="215">
        <f t="shared" si="45"/>
        <v>350032.83421874995</v>
      </c>
      <c r="U48" s="215">
        <f t="shared" si="45"/>
        <v>52</v>
      </c>
      <c r="V48" s="215">
        <f t="shared" si="45"/>
        <v>97</v>
      </c>
      <c r="W48" s="215">
        <f t="shared" si="45"/>
        <v>35</v>
      </c>
      <c r="X48" s="215">
        <f t="shared" si="45"/>
        <v>13212</v>
      </c>
      <c r="Y48" s="215">
        <f t="shared" si="45"/>
        <v>22282</v>
      </c>
      <c r="Z48" s="215">
        <f t="shared" si="45"/>
        <v>8512</v>
      </c>
      <c r="AA48" s="215">
        <f t="shared" si="45"/>
        <v>425</v>
      </c>
      <c r="AB48" s="215">
        <f t="shared" si="45"/>
        <v>0</v>
      </c>
      <c r="AC48" s="215">
        <f t="shared" si="45"/>
        <v>0</v>
      </c>
      <c r="AD48" s="215">
        <f t="shared" si="45"/>
        <v>0</v>
      </c>
      <c r="AE48" s="215">
        <f t="shared" si="45"/>
        <v>0</v>
      </c>
      <c r="AF48" s="215">
        <f t="shared" si="45"/>
        <v>0</v>
      </c>
      <c r="AG48" s="215">
        <f t="shared" si="45"/>
        <v>0</v>
      </c>
      <c r="AH48" s="215">
        <f t="shared" si="45"/>
        <v>17696</v>
      </c>
      <c r="AI48" s="215">
        <f t="shared" si="45"/>
        <v>37163</v>
      </c>
      <c r="AJ48" s="215">
        <f t="shared" si="45"/>
        <v>35390</v>
      </c>
      <c r="AK48" s="215">
        <f t="shared" si="45"/>
        <v>0</v>
      </c>
      <c r="AL48" s="215">
        <f t="shared" si="45"/>
        <v>0</v>
      </c>
      <c r="AM48" s="215">
        <f t="shared" si="45"/>
        <v>267404.16046874999</v>
      </c>
      <c r="AN48" s="215">
        <f t="shared" si="45"/>
        <v>337608.98718750005</v>
      </c>
      <c r="AO48" s="215">
        <f t="shared" si="45"/>
        <v>106178.32468749999</v>
      </c>
      <c r="AP48" s="215">
        <f t="shared" si="45"/>
        <v>35394</v>
      </c>
      <c r="AQ48" s="215">
        <f t="shared" si="45"/>
        <v>1009865.4792187501</v>
      </c>
      <c r="AR48" s="215">
        <f t="shared" si="45"/>
        <v>17697</v>
      </c>
      <c r="AS48" s="215">
        <f t="shared" si="45"/>
        <v>0</v>
      </c>
      <c r="AT48" s="215">
        <f t="shared" si="45"/>
        <v>1721056.9515625003</v>
      </c>
      <c r="AU48" s="215">
        <f t="shared" si="45"/>
        <v>5758764.127968749</v>
      </c>
      <c r="AV48" s="215">
        <f t="shared" si="45"/>
        <v>929689.77374999982</v>
      </c>
      <c r="AW48" s="215">
        <f t="shared" si="45"/>
        <v>4648448.8687499994</v>
      </c>
      <c r="AX48" s="215">
        <f t="shared" si="45"/>
        <v>1009865.4792187501</v>
      </c>
    </row>
    <row r="49" spans="2:47" x14ac:dyDescent="0.2">
      <c r="B49" s="9"/>
    </row>
    <row r="50" spans="2:47" x14ac:dyDescent="0.2">
      <c r="B50" s="9"/>
      <c r="M50" s="131"/>
      <c r="O50" s="141"/>
      <c r="AU50" s="130">
        <f>L48+P48+Q48+R48+S48+T48+X48+Y48+Z48+AH48+AI48+AJ48+AM48+AN48+AO48+AP48+AQ48+AR48</f>
        <v>5758764.12796875</v>
      </c>
    </row>
    <row r="51" spans="2:47" x14ac:dyDescent="0.2">
      <c r="B51" s="9" t="s">
        <v>90</v>
      </c>
      <c r="M51" s="131"/>
      <c r="N51" s="9" t="s">
        <v>86</v>
      </c>
    </row>
    <row r="52" spans="2:47" x14ac:dyDescent="0.2">
      <c r="B52" s="61" t="s">
        <v>159</v>
      </c>
      <c r="M52" s="131"/>
      <c r="N52" s="9" t="s">
        <v>89</v>
      </c>
    </row>
    <row r="53" spans="2:47" x14ac:dyDescent="0.2">
      <c r="M53" s="131"/>
      <c r="O53" s="141"/>
    </row>
    <row r="54" spans="2:47" x14ac:dyDescent="0.2">
      <c r="I54" s="209"/>
    </row>
    <row r="57" spans="2:47" x14ac:dyDescent="0.2">
      <c r="N57" s="20" t="s">
        <v>223</v>
      </c>
      <c r="O57" s="21"/>
      <c r="P57" s="21"/>
      <c r="Q57" s="22" t="s">
        <v>44</v>
      </c>
      <c r="R57" s="23" t="s">
        <v>45</v>
      </c>
      <c r="S57" s="23" t="s">
        <v>46</v>
      </c>
      <c r="T57" s="23" t="s">
        <v>47</v>
      </c>
    </row>
    <row r="58" spans="2:47" x14ac:dyDescent="0.2">
      <c r="B58" s="9" t="s">
        <v>87</v>
      </c>
      <c r="C58" s="9"/>
      <c r="D58" s="9"/>
      <c r="E58" s="9"/>
      <c r="F58" s="9"/>
      <c r="G58" s="9"/>
      <c r="M58" s="131"/>
      <c r="N58" s="20" t="s">
        <v>48</v>
      </c>
      <c r="O58" s="24"/>
      <c r="P58" s="24"/>
      <c r="Q58" s="23">
        <v>4</v>
      </c>
      <c r="R58" s="23">
        <v>5</v>
      </c>
      <c r="S58" s="23">
        <v>2</v>
      </c>
      <c r="T58" s="25">
        <f>Q58+R58+S58</f>
        <v>11</v>
      </c>
    </row>
    <row r="59" spans="2:47" x14ac:dyDescent="0.2">
      <c r="B59" s="9" t="s">
        <v>88</v>
      </c>
      <c r="C59" s="9"/>
      <c r="D59" s="9"/>
      <c r="E59" s="9"/>
      <c r="F59" s="9"/>
      <c r="G59" s="9"/>
      <c r="M59" s="131"/>
      <c r="N59" s="26" t="s">
        <v>49</v>
      </c>
      <c r="O59" s="27"/>
      <c r="P59" s="27"/>
      <c r="Q59" s="23">
        <v>4</v>
      </c>
      <c r="R59" s="23">
        <v>5</v>
      </c>
      <c r="S59" s="23">
        <v>2</v>
      </c>
      <c r="T59" s="25">
        <f>Q59+R59+S59</f>
        <v>11</v>
      </c>
    </row>
    <row r="60" spans="2:47" x14ac:dyDescent="0.2">
      <c r="M60" s="131"/>
      <c r="N60" s="132" t="s">
        <v>59</v>
      </c>
      <c r="O60" s="133"/>
      <c r="P60" s="134"/>
      <c r="Q60" s="214">
        <v>35</v>
      </c>
      <c r="R60" s="140">
        <v>48</v>
      </c>
      <c r="S60" s="140">
        <v>7</v>
      </c>
      <c r="T60" s="25">
        <f>Q60+R60+S60</f>
        <v>90</v>
      </c>
    </row>
    <row r="61" spans="2:47" x14ac:dyDescent="0.2">
      <c r="M61" s="135"/>
      <c r="N61" s="136" t="s">
        <v>50</v>
      </c>
      <c r="O61" s="137"/>
      <c r="P61" s="137"/>
      <c r="Q61" s="79">
        <v>97.5</v>
      </c>
      <c r="R61" s="79">
        <v>157</v>
      </c>
      <c r="S61" s="79">
        <v>58</v>
      </c>
      <c r="T61" s="25">
        <f>Q61+R61+S61</f>
        <v>312.5</v>
      </c>
      <c r="U61" s="138"/>
      <c r="V61" s="138"/>
      <c r="AK61" s="138"/>
      <c r="AL61" s="138"/>
      <c r="AM61" s="138"/>
      <c r="AN61" s="138"/>
      <c r="AO61" s="138"/>
      <c r="AP61" s="138"/>
      <c r="AQ61" s="138"/>
    </row>
    <row r="62" spans="2:47" x14ac:dyDescent="0.2">
      <c r="M62" s="131"/>
      <c r="N62" s="20" t="s">
        <v>51</v>
      </c>
      <c r="O62" s="24"/>
      <c r="P62" s="24"/>
      <c r="Q62" s="41">
        <f>Q61+Q63</f>
        <v>100.5</v>
      </c>
      <c r="R62" s="41">
        <f t="shared" ref="R62:S62" si="46">R61+R63</f>
        <v>167</v>
      </c>
      <c r="S62" s="41">
        <f t="shared" si="46"/>
        <v>74</v>
      </c>
      <c r="T62" s="25">
        <f>Q62+R62+S62</f>
        <v>341.5</v>
      </c>
    </row>
    <row r="63" spans="2:47" ht="15.75" x14ac:dyDescent="0.25">
      <c r="E63" s="217" t="s">
        <v>231</v>
      </c>
      <c r="F63" s="217"/>
      <c r="M63" s="131"/>
      <c r="N63" s="26" t="s">
        <v>52</v>
      </c>
      <c r="O63" s="27"/>
      <c r="P63" s="27"/>
      <c r="Q63" s="42">
        <v>3</v>
      </c>
      <c r="R63" s="42">
        <v>10</v>
      </c>
      <c r="S63" s="42">
        <v>16</v>
      </c>
      <c r="T63" s="25"/>
      <c r="AK63" s="139"/>
    </row>
    <row r="64" spans="2:47" x14ac:dyDescent="0.2">
      <c r="E64" s="9" t="s">
        <v>230</v>
      </c>
      <c r="F64" s="9"/>
      <c r="G64" s="9"/>
      <c r="H64" s="9"/>
      <c r="I64" s="9"/>
      <c r="J64" s="9"/>
      <c r="M64" s="36"/>
      <c r="N64" s="20" t="s">
        <v>53</v>
      </c>
      <c r="O64" s="28"/>
      <c r="P64" s="29"/>
      <c r="Q64" s="43">
        <v>0</v>
      </c>
      <c r="R64" s="23"/>
      <c r="S64" s="23"/>
      <c r="T64" s="25"/>
    </row>
    <row r="65" spans="1:50" x14ac:dyDescent="0.2">
      <c r="I65" s="9" t="s">
        <v>110</v>
      </c>
      <c r="J65" s="9"/>
      <c r="K65" s="9"/>
      <c r="L65" s="9"/>
      <c r="M65" s="131"/>
      <c r="N65" s="57"/>
      <c r="O65" s="57" t="s">
        <v>54</v>
      </c>
      <c r="P65" s="57"/>
      <c r="Q65" s="23">
        <v>24</v>
      </c>
      <c r="R65" s="140"/>
      <c r="S65" s="140"/>
      <c r="T65" s="25">
        <f>Q65+R65+S65</f>
        <v>24</v>
      </c>
    </row>
    <row r="66" spans="1:50" ht="13.5" thickBot="1" x14ac:dyDescent="0.25">
      <c r="B66" s="130" t="s">
        <v>157</v>
      </c>
      <c r="M66" s="131"/>
      <c r="O66" s="141"/>
      <c r="R66" s="130" t="s">
        <v>130</v>
      </c>
    </row>
    <row r="67" spans="1:50" ht="38.25" x14ac:dyDescent="0.2">
      <c r="A67" s="381" t="s">
        <v>18</v>
      </c>
      <c r="B67" s="372" t="s">
        <v>19</v>
      </c>
      <c r="C67" s="375" t="s">
        <v>20</v>
      </c>
      <c r="D67" s="376" t="s">
        <v>21</v>
      </c>
      <c r="E67" s="375" t="s">
        <v>22</v>
      </c>
      <c r="F67" s="375" t="s">
        <v>23</v>
      </c>
      <c r="G67" s="375" t="s">
        <v>24</v>
      </c>
      <c r="H67" s="375" t="s">
        <v>55</v>
      </c>
      <c r="I67" s="375" t="s">
        <v>25</v>
      </c>
      <c r="J67" s="415" t="s">
        <v>209</v>
      </c>
      <c r="K67" s="13" t="s">
        <v>26</v>
      </c>
      <c r="L67" s="13" t="s">
        <v>27</v>
      </c>
      <c r="M67" s="383" t="s">
        <v>28</v>
      </c>
      <c r="N67" s="384"/>
      <c r="O67" s="385"/>
      <c r="P67" s="386" t="s">
        <v>27</v>
      </c>
      <c r="Q67" s="387"/>
      <c r="R67" s="387"/>
      <c r="S67" s="418">
        <v>0.25</v>
      </c>
      <c r="T67" s="394" t="s">
        <v>30</v>
      </c>
      <c r="U67" s="422" t="s">
        <v>219</v>
      </c>
      <c r="V67" s="423"/>
      <c r="W67" s="423"/>
      <c r="X67" s="423"/>
      <c r="Y67" s="423"/>
      <c r="Z67" s="424"/>
      <c r="AA67" s="427" t="s">
        <v>160</v>
      </c>
      <c r="AB67" s="422" t="s">
        <v>220</v>
      </c>
      <c r="AC67" s="423"/>
      <c r="AD67" s="423"/>
      <c r="AE67" s="423"/>
      <c r="AF67" s="423"/>
      <c r="AG67" s="424"/>
      <c r="AH67" s="344" t="s">
        <v>4</v>
      </c>
      <c r="AI67" s="344"/>
      <c r="AJ67" s="345" t="s">
        <v>3</v>
      </c>
      <c r="AK67" s="345" t="s">
        <v>43</v>
      </c>
      <c r="AL67" s="344" t="s">
        <v>11</v>
      </c>
      <c r="AM67" s="344"/>
      <c r="AN67" s="344"/>
      <c r="AO67" s="344"/>
      <c r="AP67" s="429" t="s">
        <v>211</v>
      </c>
      <c r="AQ67" s="351" t="s">
        <v>12</v>
      </c>
      <c r="AR67" s="344" t="s">
        <v>16</v>
      </c>
      <c r="AS67" s="344"/>
      <c r="AT67" s="366" t="s">
        <v>14</v>
      </c>
      <c r="AU67" s="337" t="s">
        <v>31</v>
      </c>
    </row>
    <row r="68" spans="1:50" x14ac:dyDescent="0.2">
      <c r="A68" s="382"/>
      <c r="B68" s="373"/>
      <c r="C68" s="364"/>
      <c r="D68" s="377"/>
      <c r="E68" s="364"/>
      <c r="F68" s="364"/>
      <c r="G68" s="364"/>
      <c r="H68" s="413"/>
      <c r="I68" s="364"/>
      <c r="J68" s="416"/>
      <c r="K68" s="341" t="s">
        <v>33</v>
      </c>
      <c r="L68" s="341" t="s">
        <v>33</v>
      </c>
      <c r="M68" s="392" t="s">
        <v>0</v>
      </c>
      <c r="N68" s="341" t="s">
        <v>1</v>
      </c>
      <c r="O68" s="397" t="s">
        <v>2</v>
      </c>
      <c r="P68" s="360" t="s">
        <v>0</v>
      </c>
      <c r="Q68" s="341" t="s">
        <v>1</v>
      </c>
      <c r="R68" s="399" t="s">
        <v>2</v>
      </c>
      <c r="S68" s="419"/>
      <c r="T68" s="395"/>
      <c r="U68" s="401" t="s">
        <v>34</v>
      </c>
      <c r="V68" s="402"/>
      <c r="W68" s="403"/>
      <c r="X68" s="407" t="s">
        <v>35</v>
      </c>
      <c r="Y68" s="408"/>
      <c r="Z68" s="409"/>
      <c r="AA68" s="342"/>
      <c r="AB68" s="401" t="s">
        <v>34</v>
      </c>
      <c r="AC68" s="402"/>
      <c r="AD68" s="403"/>
      <c r="AE68" s="407" t="s">
        <v>35</v>
      </c>
      <c r="AF68" s="408"/>
      <c r="AG68" s="409"/>
      <c r="AH68" s="354" t="s">
        <v>17</v>
      </c>
      <c r="AI68" s="355"/>
      <c r="AJ68" s="346"/>
      <c r="AK68" s="425"/>
      <c r="AL68" s="358" t="s">
        <v>10</v>
      </c>
      <c r="AM68" s="346" t="s">
        <v>9</v>
      </c>
      <c r="AN68" s="360" t="s">
        <v>8</v>
      </c>
      <c r="AO68" s="360" t="s">
        <v>7</v>
      </c>
      <c r="AP68" s="364"/>
      <c r="AQ68" s="352"/>
      <c r="AR68" s="358" t="s">
        <v>13</v>
      </c>
      <c r="AS68" s="358" t="s">
        <v>15</v>
      </c>
      <c r="AT68" s="367"/>
      <c r="AU68" s="338"/>
    </row>
    <row r="69" spans="1:50" x14ac:dyDescent="0.2">
      <c r="A69" s="382"/>
      <c r="B69" s="373"/>
      <c r="C69" s="364"/>
      <c r="D69" s="377"/>
      <c r="E69" s="364"/>
      <c r="F69" s="364"/>
      <c r="G69" s="364"/>
      <c r="H69" s="413"/>
      <c r="I69" s="364"/>
      <c r="J69" s="416"/>
      <c r="K69" s="342"/>
      <c r="L69" s="342"/>
      <c r="M69" s="393"/>
      <c r="N69" s="342"/>
      <c r="O69" s="398"/>
      <c r="P69" s="361"/>
      <c r="Q69" s="342"/>
      <c r="R69" s="400"/>
      <c r="S69" s="419"/>
      <c r="T69" s="395"/>
      <c r="U69" s="404"/>
      <c r="V69" s="405"/>
      <c r="W69" s="406"/>
      <c r="X69" s="410"/>
      <c r="Y69" s="411"/>
      <c r="Z69" s="412"/>
      <c r="AA69" s="342"/>
      <c r="AB69" s="404"/>
      <c r="AC69" s="405"/>
      <c r="AD69" s="406"/>
      <c r="AE69" s="410"/>
      <c r="AF69" s="411"/>
      <c r="AG69" s="412"/>
      <c r="AH69" s="356"/>
      <c r="AI69" s="357"/>
      <c r="AJ69" s="346"/>
      <c r="AK69" s="425"/>
      <c r="AL69" s="359"/>
      <c r="AM69" s="346"/>
      <c r="AN69" s="361"/>
      <c r="AO69" s="361"/>
      <c r="AP69" s="364"/>
      <c r="AQ69" s="352"/>
      <c r="AR69" s="359"/>
      <c r="AS69" s="359"/>
      <c r="AT69" s="367"/>
      <c r="AU69" s="338"/>
    </row>
    <row r="70" spans="1:50" x14ac:dyDescent="0.2">
      <c r="A70" s="382"/>
      <c r="B70" s="373"/>
      <c r="C70" s="364"/>
      <c r="D70" s="377"/>
      <c r="E70" s="364"/>
      <c r="F70" s="364"/>
      <c r="G70" s="364"/>
      <c r="H70" s="413"/>
      <c r="I70" s="364"/>
      <c r="J70" s="416"/>
      <c r="K70" s="342"/>
      <c r="L70" s="342"/>
      <c r="M70" s="393"/>
      <c r="N70" s="342"/>
      <c r="O70" s="398"/>
      <c r="P70" s="361"/>
      <c r="Q70" s="342"/>
      <c r="R70" s="400"/>
      <c r="S70" s="420"/>
      <c r="T70" s="395"/>
      <c r="U70" s="341" t="s">
        <v>0</v>
      </c>
      <c r="V70" s="341" t="s">
        <v>1</v>
      </c>
      <c r="W70" s="341" t="s">
        <v>2</v>
      </c>
      <c r="X70" s="360" t="s">
        <v>0</v>
      </c>
      <c r="Y70" s="360" t="s">
        <v>1</v>
      </c>
      <c r="Z70" s="360" t="s">
        <v>2</v>
      </c>
      <c r="AA70" s="342"/>
      <c r="AB70" s="341" t="s">
        <v>0</v>
      </c>
      <c r="AC70" s="341" t="s">
        <v>1</v>
      </c>
      <c r="AD70" s="341" t="s">
        <v>2</v>
      </c>
      <c r="AE70" s="360" t="s">
        <v>0</v>
      </c>
      <c r="AF70" s="360" t="s">
        <v>1</v>
      </c>
      <c r="AG70" s="360" t="s">
        <v>2</v>
      </c>
      <c r="AH70" s="216"/>
      <c r="AI70" s="216"/>
      <c r="AJ70" s="346"/>
      <c r="AK70" s="425"/>
      <c r="AL70" s="359"/>
      <c r="AM70" s="346"/>
      <c r="AN70" s="361"/>
      <c r="AO70" s="361"/>
      <c r="AP70" s="364"/>
      <c r="AQ70" s="352"/>
      <c r="AR70" s="359"/>
      <c r="AS70" s="359"/>
      <c r="AT70" s="367"/>
      <c r="AU70" s="338"/>
    </row>
    <row r="71" spans="1:50" x14ac:dyDescent="0.2">
      <c r="A71" s="382"/>
      <c r="B71" s="373"/>
      <c r="C71" s="364"/>
      <c r="D71" s="377"/>
      <c r="E71" s="364"/>
      <c r="F71" s="364"/>
      <c r="G71" s="364"/>
      <c r="H71" s="413"/>
      <c r="I71" s="364"/>
      <c r="J71" s="416"/>
      <c r="K71" s="342"/>
      <c r="L71" s="342"/>
      <c r="M71" s="393"/>
      <c r="N71" s="342"/>
      <c r="O71" s="398"/>
      <c r="P71" s="361"/>
      <c r="Q71" s="342"/>
      <c r="R71" s="400"/>
      <c r="S71" s="420"/>
      <c r="T71" s="395"/>
      <c r="U71" s="342"/>
      <c r="V71" s="342"/>
      <c r="W71" s="342"/>
      <c r="X71" s="361"/>
      <c r="Y71" s="361"/>
      <c r="Z71" s="361"/>
      <c r="AA71" s="342"/>
      <c r="AB71" s="342"/>
      <c r="AC71" s="342"/>
      <c r="AD71" s="342"/>
      <c r="AE71" s="361"/>
      <c r="AF71" s="361"/>
      <c r="AG71" s="361"/>
      <c r="AH71" s="362" t="s">
        <v>0</v>
      </c>
      <c r="AI71" s="362" t="s">
        <v>5</v>
      </c>
      <c r="AJ71" s="346"/>
      <c r="AK71" s="425"/>
      <c r="AL71" s="359"/>
      <c r="AM71" s="346"/>
      <c r="AN71" s="361"/>
      <c r="AO71" s="361"/>
      <c r="AP71" s="364"/>
      <c r="AQ71" s="352"/>
      <c r="AR71" s="359"/>
      <c r="AS71" s="359"/>
      <c r="AT71" s="367"/>
      <c r="AU71" s="338"/>
    </row>
    <row r="72" spans="1:50" ht="13.5" thickBot="1" x14ac:dyDescent="0.25">
      <c r="A72" s="382"/>
      <c r="B72" s="374"/>
      <c r="C72" s="364"/>
      <c r="D72" s="377"/>
      <c r="E72" s="364"/>
      <c r="F72" s="364"/>
      <c r="G72" s="364"/>
      <c r="H72" s="414"/>
      <c r="I72" s="364"/>
      <c r="J72" s="417"/>
      <c r="K72" s="342"/>
      <c r="L72" s="342"/>
      <c r="M72" s="393"/>
      <c r="N72" s="342"/>
      <c r="O72" s="398"/>
      <c r="P72" s="361"/>
      <c r="Q72" s="342"/>
      <c r="R72" s="400"/>
      <c r="S72" s="421"/>
      <c r="T72" s="395"/>
      <c r="U72" s="342"/>
      <c r="V72" s="342"/>
      <c r="W72" s="342"/>
      <c r="X72" s="361"/>
      <c r="Y72" s="361"/>
      <c r="Z72" s="361"/>
      <c r="AA72" s="428"/>
      <c r="AB72" s="342"/>
      <c r="AC72" s="342"/>
      <c r="AD72" s="342"/>
      <c r="AE72" s="361"/>
      <c r="AF72" s="361"/>
      <c r="AG72" s="361"/>
      <c r="AH72" s="363"/>
      <c r="AI72" s="363"/>
      <c r="AJ72" s="346"/>
      <c r="AK72" s="426"/>
      <c r="AL72" s="359"/>
      <c r="AM72" s="346"/>
      <c r="AN72" s="361"/>
      <c r="AO72" s="361"/>
      <c r="AP72" s="380"/>
      <c r="AQ72" s="353"/>
      <c r="AR72" s="365"/>
      <c r="AS72" s="365"/>
      <c r="AT72" s="368"/>
      <c r="AU72" s="338"/>
    </row>
    <row r="73" spans="1:50" x14ac:dyDescent="0.2">
      <c r="A73" s="57">
        <v>1</v>
      </c>
      <c r="B73" s="32" t="s">
        <v>232</v>
      </c>
      <c r="C73" s="32" t="s">
        <v>60</v>
      </c>
      <c r="D73" s="31" t="s">
        <v>126</v>
      </c>
      <c r="E73" s="56" t="s">
        <v>91</v>
      </c>
      <c r="F73" s="56">
        <v>7.9</v>
      </c>
      <c r="G73" s="56">
        <v>4.33</v>
      </c>
      <c r="H73" s="56">
        <v>17697</v>
      </c>
      <c r="I73" s="57">
        <f t="shared" ref="I73" si="47">G73*H73</f>
        <v>76628.009999999995</v>
      </c>
      <c r="J73" s="57">
        <f t="shared" ref="J73:J79" si="48">I73*1.5</f>
        <v>114942.01499999998</v>
      </c>
      <c r="K73" s="56"/>
      <c r="L73" s="56">
        <f t="shared" ref="L73" si="49">J73/24*K73</f>
        <v>0</v>
      </c>
      <c r="M73" s="56"/>
      <c r="N73" s="56">
        <v>9</v>
      </c>
      <c r="O73" s="143"/>
      <c r="P73" s="57">
        <f t="shared" ref="P73:P79" si="50">J73/16*M73</f>
        <v>0</v>
      </c>
      <c r="Q73" s="146">
        <f t="shared" ref="Q73:Q79" si="51">J73/16*N73</f>
        <v>64654.883437499993</v>
      </c>
      <c r="R73" s="146">
        <f t="shared" ref="R73:R79" si="52">J73/16*O73</f>
        <v>0</v>
      </c>
      <c r="S73" s="144">
        <f t="shared" ref="S73:S79" si="53">(L73+P73+Q73+R73)*25%</f>
        <v>16163.720859374998</v>
      </c>
      <c r="T73" s="145">
        <f t="shared" ref="T73:T79" si="54">(P73+Q73+R73+L73+S73)*10%</f>
        <v>8081.8604296875001</v>
      </c>
      <c r="U73" s="56"/>
      <c r="V73" s="56"/>
      <c r="W73" s="56"/>
      <c r="X73" s="56"/>
      <c r="Y73" s="56"/>
      <c r="Z73" s="56"/>
      <c r="AA73" s="57">
        <v>1</v>
      </c>
      <c r="AB73" s="56"/>
      <c r="AC73" s="56"/>
      <c r="AD73" s="56"/>
      <c r="AE73" s="56"/>
      <c r="AF73" s="56"/>
      <c r="AG73" s="56"/>
      <c r="AH73" s="56"/>
      <c r="AI73" s="56"/>
      <c r="AJ73" s="56"/>
      <c r="AK73" s="56"/>
      <c r="AL73" s="56"/>
      <c r="AM73" s="56"/>
      <c r="AN73" s="56"/>
      <c r="AO73" s="56"/>
      <c r="AP73" s="56"/>
      <c r="AQ73" s="48">
        <f t="shared" ref="AQ73:AQ79" si="55">AX73</f>
        <v>24245.581289062498</v>
      </c>
      <c r="AR73" s="57"/>
      <c r="AS73" s="57"/>
      <c r="AT73" s="145">
        <f t="shared" ref="AT73:AT79" si="56">AM73+AN73+AO73+AQ73</f>
        <v>24245.581289062498</v>
      </c>
      <c r="AU73" s="146">
        <f t="shared" ref="AU73:AU79" si="57">P73+Q73+R73+S73+T73+X73+Y73+Z73+AH73+AI73+AJ73+AK73+AL73+AM73+AN73+AO73+AQ73+AR73+AS73+L73+AP73+AG73+AF73+AE73</f>
        <v>113146.04601562499</v>
      </c>
      <c r="AV73">
        <f t="shared" ref="AV73:AV79" si="58">J73*25%</f>
        <v>28735.503749999996</v>
      </c>
      <c r="AW73" s="49">
        <f t="shared" ref="AW73:AW79" si="59">AV73+J73</f>
        <v>143677.51874999999</v>
      </c>
      <c r="AX73">
        <f t="shared" ref="AX73:AX79" si="60">AW73/16*(M73+N73+O73)*30%</f>
        <v>24245.581289062498</v>
      </c>
    </row>
    <row r="74" spans="1:50" x14ac:dyDescent="0.2">
      <c r="A74" s="57">
        <v>2</v>
      </c>
      <c r="B74" s="31" t="s">
        <v>121</v>
      </c>
      <c r="C74" s="32" t="s">
        <v>60</v>
      </c>
      <c r="D74" s="31" t="s">
        <v>123</v>
      </c>
      <c r="E74" s="56" t="s">
        <v>82</v>
      </c>
      <c r="F74" s="56">
        <v>21</v>
      </c>
      <c r="G74" s="56">
        <v>5.08</v>
      </c>
      <c r="H74" s="56">
        <v>17697</v>
      </c>
      <c r="I74" s="57">
        <f t="shared" ref="I74:I79" si="61">G74*H74</f>
        <v>89900.76</v>
      </c>
      <c r="J74" s="57">
        <f t="shared" si="48"/>
        <v>134851.13999999998</v>
      </c>
      <c r="K74" s="56"/>
      <c r="L74" s="56">
        <f t="shared" ref="L74:L79" si="62">J74/24*K74</f>
        <v>0</v>
      </c>
      <c r="M74" s="56">
        <v>3</v>
      </c>
      <c r="N74" s="56">
        <v>9</v>
      </c>
      <c r="O74" s="143">
        <v>6</v>
      </c>
      <c r="P74" s="57">
        <f t="shared" si="50"/>
        <v>25284.588749999995</v>
      </c>
      <c r="Q74" s="146">
        <f t="shared" si="51"/>
        <v>75853.766249999986</v>
      </c>
      <c r="R74" s="146">
        <f t="shared" si="52"/>
        <v>50569.177499999991</v>
      </c>
      <c r="S74" s="144">
        <f t="shared" si="53"/>
        <v>37926.883124999993</v>
      </c>
      <c r="T74" s="145">
        <f t="shared" si="54"/>
        <v>18963.441562499997</v>
      </c>
      <c r="U74" s="56"/>
      <c r="V74" s="56"/>
      <c r="W74" s="56"/>
      <c r="X74" s="56"/>
      <c r="Y74" s="56"/>
      <c r="Z74" s="56"/>
      <c r="AA74" s="57">
        <v>2</v>
      </c>
      <c r="AB74" s="56"/>
      <c r="AC74" s="56"/>
      <c r="AD74" s="56"/>
      <c r="AE74" s="56"/>
      <c r="AF74" s="56"/>
      <c r="AG74" s="56"/>
      <c r="AH74" s="56"/>
      <c r="AI74" s="56"/>
      <c r="AJ74" s="8"/>
      <c r="AK74" s="56"/>
      <c r="AL74" s="56"/>
      <c r="AM74" s="56"/>
      <c r="AN74" s="56"/>
      <c r="AO74" s="56">
        <f>(P74+Q74+R74+S74)*30%</f>
        <v>56890.32468749999</v>
      </c>
      <c r="AP74" s="56">
        <v>17697</v>
      </c>
      <c r="AQ74" s="48">
        <f t="shared" si="55"/>
        <v>56890.324687499997</v>
      </c>
      <c r="AR74" s="56"/>
      <c r="AS74" s="56"/>
      <c r="AT74" s="145">
        <f t="shared" si="56"/>
        <v>113780.64937499998</v>
      </c>
      <c r="AU74" s="146">
        <f t="shared" si="57"/>
        <v>340075.50656249997</v>
      </c>
      <c r="AV74">
        <f t="shared" si="58"/>
        <v>33712.784999999996</v>
      </c>
      <c r="AW74" s="49">
        <f t="shared" si="59"/>
        <v>168563.92499999999</v>
      </c>
      <c r="AX74">
        <f t="shared" si="60"/>
        <v>56890.324687499997</v>
      </c>
    </row>
    <row r="75" spans="1:50" x14ac:dyDescent="0.2">
      <c r="A75" s="57">
        <v>3</v>
      </c>
      <c r="B75" s="31" t="s">
        <v>191</v>
      </c>
      <c r="C75" s="16" t="s">
        <v>60</v>
      </c>
      <c r="D75" s="19" t="s">
        <v>128</v>
      </c>
      <c r="E75" s="56" t="s">
        <v>81</v>
      </c>
      <c r="F75" s="57">
        <v>6</v>
      </c>
      <c r="G75" s="57">
        <v>4.72</v>
      </c>
      <c r="H75" s="56">
        <v>17697</v>
      </c>
      <c r="I75" s="57">
        <f t="shared" si="61"/>
        <v>83529.84</v>
      </c>
      <c r="J75" s="57">
        <f t="shared" si="48"/>
        <v>125294.76</v>
      </c>
      <c r="K75" s="56"/>
      <c r="L75" s="56">
        <f t="shared" si="62"/>
        <v>0</v>
      </c>
      <c r="M75" s="56">
        <v>3</v>
      </c>
      <c r="N75" s="56">
        <v>6</v>
      </c>
      <c r="O75" s="143"/>
      <c r="P75" s="57">
        <f t="shared" si="50"/>
        <v>23492.767499999998</v>
      </c>
      <c r="Q75" s="146">
        <f t="shared" si="51"/>
        <v>46985.534999999996</v>
      </c>
      <c r="R75" s="146">
        <f t="shared" si="52"/>
        <v>0</v>
      </c>
      <c r="S75" s="144">
        <f t="shared" si="53"/>
        <v>17619.575624999998</v>
      </c>
      <c r="T75" s="145">
        <f t="shared" si="54"/>
        <v>8809.7878124999988</v>
      </c>
      <c r="U75" s="56"/>
      <c r="V75" s="56"/>
      <c r="W75" s="56"/>
      <c r="X75" s="56"/>
      <c r="Y75" s="56"/>
      <c r="Z75" s="56"/>
      <c r="AA75" s="57">
        <v>3</v>
      </c>
      <c r="AB75" s="56"/>
      <c r="AC75" s="56"/>
      <c r="AD75" s="56"/>
      <c r="AE75" s="56"/>
      <c r="AF75" s="56"/>
      <c r="AG75" s="56"/>
      <c r="AH75" s="56"/>
      <c r="AI75" s="56">
        <v>5309</v>
      </c>
      <c r="AJ75" s="56">
        <v>3539</v>
      </c>
      <c r="AK75" s="56"/>
      <c r="AL75" s="56"/>
      <c r="AM75" s="56"/>
      <c r="AN75" s="56">
        <f>(P75+Q75+R75+S75)*35%</f>
        <v>30834.257343749992</v>
      </c>
      <c r="AO75" s="56"/>
      <c r="AP75" s="56">
        <v>17697</v>
      </c>
      <c r="AQ75" s="48">
        <f t="shared" si="55"/>
        <v>26429.363437499997</v>
      </c>
      <c r="AR75" s="56"/>
      <c r="AS75" s="56"/>
      <c r="AT75" s="145">
        <f t="shared" si="56"/>
        <v>57263.620781249992</v>
      </c>
      <c r="AU75" s="146">
        <f t="shared" si="57"/>
        <v>180716.28671874997</v>
      </c>
      <c r="AV75">
        <f t="shared" si="58"/>
        <v>31323.69</v>
      </c>
      <c r="AW75" s="49">
        <f t="shared" si="59"/>
        <v>156618.44999999998</v>
      </c>
      <c r="AX75">
        <f t="shared" si="60"/>
        <v>26429.363437499997</v>
      </c>
    </row>
    <row r="76" spans="1:50" x14ac:dyDescent="0.2">
      <c r="A76" s="57">
        <v>4</v>
      </c>
      <c r="B76" s="31" t="s">
        <v>212</v>
      </c>
      <c r="C76" s="31" t="s">
        <v>60</v>
      </c>
      <c r="D76" s="35" t="s">
        <v>65</v>
      </c>
      <c r="E76" s="56" t="s">
        <v>91</v>
      </c>
      <c r="F76" s="56">
        <v>12.03</v>
      </c>
      <c r="G76" s="56">
        <v>4.38</v>
      </c>
      <c r="H76" s="56">
        <v>17697</v>
      </c>
      <c r="I76" s="57">
        <f t="shared" si="61"/>
        <v>77512.86</v>
      </c>
      <c r="J76" s="57">
        <f t="shared" si="48"/>
        <v>116269.29000000001</v>
      </c>
      <c r="K76" s="56"/>
      <c r="L76" s="56">
        <f t="shared" si="62"/>
        <v>0</v>
      </c>
      <c r="M76" s="56"/>
      <c r="N76" s="56"/>
      <c r="O76" s="143">
        <v>8</v>
      </c>
      <c r="P76" s="57">
        <f t="shared" si="50"/>
        <v>0</v>
      </c>
      <c r="Q76" s="146">
        <f t="shared" si="51"/>
        <v>0</v>
      </c>
      <c r="R76" s="146">
        <f t="shared" si="52"/>
        <v>58134.645000000004</v>
      </c>
      <c r="S76" s="144">
        <f t="shared" si="53"/>
        <v>14533.661250000001</v>
      </c>
      <c r="T76" s="145">
        <f t="shared" si="54"/>
        <v>7266.8306250000014</v>
      </c>
      <c r="U76" s="56"/>
      <c r="V76" s="56"/>
      <c r="W76" s="56"/>
      <c r="X76" s="56"/>
      <c r="Y76" s="56"/>
      <c r="Z76" s="56"/>
      <c r="AA76" s="57">
        <v>4</v>
      </c>
      <c r="AB76" s="56"/>
      <c r="AC76" s="56"/>
      <c r="AD76" s="56"/>
      <c r="AE76" s="56"/>
      <c r="AF76" s="56"/>
      <c r="AG76" s="56"/>
      <c r="AH76" s="56"/>
      <c r="AI76" s="56"/>
      <c r="AJ76" s="56"/>
      <c r="AK76" s="56"/>
      <c r="AL76" s="56"/>
      <c r="AM76" s="56"/>
      <c r="AN76" s="56"/>
      <c r="AO76" s="56"/>
      <c r="AP76" s="56"/>
      <c r="AQ76" s="48">
        <f t="shared" si="55"/>
        <v>21800.491875000003</v>
      </c>
      <c r="AR76" s="57"/>
      <c r="AS76" s="57"/>
      <c r="AT76" s="145">
        <f t="shared" si="56"/>
        <v>21800.491875000003</v>
      </c>
      <c r="AU76" s="146">
        <f t="shared" si="57"/>
        <v>101735.62875000002</v>
      </c>
      <c r="AV76">
        <f t="shared" si="58"/>
        <v>29067.322500000002</v>
      </c>
      <c r="AW76" s="49">
        <f t="shared" si="59"/>
        <v>145336.61250000002</v>
      </c>
      <c r="AX76">
        <f t="shared" si="60"/>
        <v>21800.491875000003</v>
      </c>
    </row>
    <row r="77" spans="1:50" x14ac:dyDescent="0.2">
      <c r="A77" s="57">
        <v>5</v>
      </c>
      <c r="B77" s="31" t="s">
        <v>115</v>
      </c>
      <c r="C77" s="31" t="s">
        <v>63</v>
      </c>
      <c r="D77" s="31" t="s">
        <v>229</v>
      </c>
      <c r="E77" s="56" t="s">
        <v>83</v>
      </c>
      <c r="F77" s="56">
        <v>39.04</v>
      </c>
      <c r="G77" s="56">
        <v>4.3899999999999997</v>
      </c>
      <c r="H77" s="57">
        <v>17697</v>
      </c>
      <c r="I77" s="57">
        <f t="shared" si="61"/>
        <v>77689.829999999987</v>
      </c>
      <c r="J77" s="57">
        <f t="shared" si="48"/>
        <v>116534.74499999998</v>
      </c>
      <c r="K77" s="57"/>
      <c r="L77" s="56">
        <f t="shared" si="62"/>
        <v>0</v>
      </c>
      <c r="M77" s="56"/>
      <c r="N77" s="56">
        <v>9</v>
      </c>
      <c r="O77" s="143"/>
      <c r="P77" s="57">
        <f t="shared" si="50"/>
        <v>0</v>
      </c>
      <c r="Q77" s="146">
        <f t="shared" si="51"/>
        <v>65550.79406249999</v>
      </c>
      <c r="R77" s="146">
        <f t="shared" si="52"/>
        <v>0</v>
      </c>
      <c r="S77" s="144">
        <f t="shared" si="53"/>
        <v>16387.698515624998</v>
      </c>
      <c r="T77" s="145">
        <f t="shared" si="54"/>
        <v>8193.8492578124988</v>
      </c>
      <c r="U77" s="56"/>
      <c r="V77" s="56"/>
      <c r="W77" s="56"/>
      <c r="X77" s="56"/>
      <c r="Y77" s="56"/>
      <c r="Z77" s="56"/>
      <c r="AA77" s="57">
        <v>5</v>
      </c>
      <c r="AB77" s="56"/>
      <c r="AC77" s="56"/>
      <c r="AD77" s="56"/>
      <c r="AE77" s="56"/>
      <c r="AF77" s="56"/>
      <c r="AG77" s="56"/>
      <c r="AH77" s="56"/>
      <c r="AI77" s="56"/>
      <c r="AJ77" s="30">
        <v>3539</v>
      </c>
      <c r="AK77" s="56"/>
      <c r="AL77" s="56"/>
      <c r="AM77" s="56"/>
      <c r="AN77" s="56">
        <f>(P77+Q77+R77+S77)*35%</f>
        <v>28678.472402343745</v>
      </c>
      <c r="AO77" s="56"/>
      <c r="AP77" s="56"/>
      <c r="AQ77" s="48">
        <f t="shared" si="55"/>
        <v>24581.547773437491</v>
      </c>
      <c r="AR77" s="57"/>
      <c r="AS77" s="57"/>
      <c r="AT77" s="145">
        <f t="shared" si="56"/>
        <v>53260.020175781232</v>
      </c>
      <c r="AU77" s="146">
        <f t="shared" si="57"/>
        <v>146931.36201171874</v>
      </c>
      <c r="AV77">
        <f t="shared" si="58"/>
        <v>29133.686249999995</v>
      </c>
      <c r="AW77" s="49">
        <f t="shared" si="59"/>
        <v>145668.43124999997</v>
      </c>
      <c r="AX77">
        <f t="shared" si="60"/>
        <v>24581.547773437491</v>
      </c>
    </row>
    <row r="78" spans="1:50" x14ac:dyDescent="0.2">
      <c r="A78" s="57">
        <v>6</v>
      </c>
      <c r="B78" s="31" t="s">
        <v>233</v>
      </c>
      <c r="C78" s="31" t="s">
        <v>60</v>
      </c>
      <c r="D78" s="19" t="s">
        <v>39</v>
      </c>
      <c r="E78" s="56" t="s">
        <v>91</v>
      </c>
      <c r="F78" s="56">
        <v>2</v>
      </c>
      <c r="G78" s="34">
        <v>4.1900000000000004</v>
      </c>
      <c r="H78" s="56">
        <v>17697</v>
      </c>
      <c r="I78" s="57">
        <f t="shared" si="61"/>
        <v>74150.430000000008</v>
      </c>
      <c r="J78" s="57">
        <f t="shared" si="48"/>
        <v>111225.64500000002</v>
      </c>
      <c r="K78" s="57"/>
      <c r="L78" s="56">
        <f t="shared" si="62"/>
        <v>0</v>
      </c>
      <c r="M78" s="56">
        <v>6</v>
      </c>
      <c r="N78" s="56">
        <v>1</v>
      </c>
      <c r="O78" s="143"/>
      <c r="P78" s="57">
        <f t="shared" si="50"/>
        <v>41709.616875000007</v>
      </c>
      <c r="Q78" s="146">
        <f t="shared" si="51"/>
        <v>6951.6028125000012</v>
      </c>
      <c r="R78" s="146">
        <f t="shared" si="52"/>
        <v>0</v>
      </c>
      <c r="S78" s="144">
        <f t="shared" si="53"/>
        <v>12165.304921875002</v>
      </c>
      <c r="T78" s="145">
        <f t="shared" si="54"/>
        <v>6082.652460937501</v>
      </c>
      <c r="U78" s="57"/>
      <c r="V78" s="57"/>
      <c r="W78" s="57"/>
      <c r="X78" s="57"/>
      <c r="Y78" s="57"/>
      <c r="Z78" s="57"/>
      <c r="AA78" s="57">
        <v>6</v>
      </c>
      <c r="AB78" s="57"/>
      <c r="AC78" s="57"/>
      <c r="AD78" s="57"/>
      <c r="AE78" s="57"/>
      <c r="AF78" s="57"/>
      <c r="AG78" s="57"/>
      <c r="AH78" s="57"/>
      <c r="AI78" s="56"/>
      <c r="AJ78" s="57"/>
      <c r="AK78" s="57"/>
      <c r="AL78" s="57"/>
      <c r="AM78" s="57"/>
      <c r="AN78" s="57"/>
      <c r="AO78" s="57"/>
      <c r="AP78" s="57">
        <v>17697</v>
      </c>
      <c r="AQ78" s="48">
        <f t="shared" si="55"/>
        <v>18247.957382812503</v>
      </c>
      <c r="AR78" s="57"/>
      <c r="AS78" s="57"/>
      <c r="AT78" s="145">
        <f t="shared" si="56"/>
        <v>18247.957382812503</v>
      </c>
      <c r="AU78" s="146">
        <f>P78+Q78+R78+S78+T78+X78+Y78+Z78+AH78+AI78+AJ78+AK78+AL78+AM78+AN78+AO78+AQ78+AR78+AS78+L78+AP78+AG78+AF78+AE78</f>
        <v>102854.13445312501</v>
      </c>
      <c r="AV78">
        <f t="shared" si="58"/>
        <v>27806.411250000005</v>
      </c>
      <c r="AW78" s="49">
        <f t="shared" si="59"/>
        <v>139032.05625000002</v>
      </c>
      <c r="AX78">
        <f t="shared" si="60"/>
        <v>18247.957382812503</v>
      </c>
    </row>
    <row r="79" spans="1:50" x14ac:dyDescent="0.2">
      <c r="A79" s="57">
        <v>7</v>
      </c>
      <c r="B79" s="31" t="s">
        <v>228</v>
      </c>
      <c r="C79" s="31" t="s">
        <v>60</v>
      </c>
      <c r="D79" s="19" t="s">
        <v>69</v>
      </c>
      <c r="E79" s="56" t="s">
        <v>91</v>
      </c>
      <c r="F79" s="56">
        <v>8.6</v>
      </c>
      <c r="G79" s="34">
        <v>4.33</v>
      </c>
      <c r="H79" s="56">
        <v>17697</v>
      </c>
      <c r="I79" s="57">
        <f t="shared" si="61"/>
        <v>76628.009999999995</v>
      </c>
      <c r="J79" s="57">
        <f t="shared" si="48"/>
        <v>114942.01499999998</v>
      </c>
      <c r="K79" s="57"/>
      <c r="L79" s="56">
        <f t="shared" si="62"/>
        <v>0</v>
      </c>
      <c r="M79" s="56"/>
      <c r="N79" s="56">
        <v>6</v>
      </c>
      <c r="O79" s="143">
        <v>1</v>
      </c>
      <c r="P79" s="57">
        <f t="shared" si="50"/>
        <v>0</v>
      </c>
      <c r="Q79" s="146">
        <f t="shared" si="51"/>
        <v>43103.255624999991</v>
      </c>
      <c r="R79" s="146">
        <f t="shared" si="52"/>
        <v>7183.8759374999991</v>
      </c>
      <c r="S79" s="144">
        <f t="shared" si="53"/>
        <v>12571.782890624998</v>
      </c>
      <c r="T79" s="145">
        <f t="shared" si="54"/>
        <v>6285.8914453124999</v>
      </c>
      <c r="U79" s="57"/>
      <c r="V79" s="57">
        <v>5</v>
      </c>
      <c r="W79" s="57"/>
      <c r="X79" s="57">
        <v>1382</v>
      </c>
      <c r="Y79" s="57"/>
      <c r="Z79" s="57"/>
      <c r="AA79" s="57">
        <v>7</v>
      </c>
      <c r="AB79" s="57"/>
      <c r="AC79" s="57"/>
      <c r="AD79" s="57"/>
      <c r="AE79" s="57"/>
      <c r="AF79" s="57"/>
      <c r="AG79" s="57"/>
      <c r="AH79" s="57"/>
      <c r="AI79" s="56">
        <v>5309</v>
      </c>
      <c r="AJ79" s="57"/>
      <c r="AK79" s="57"/>
      <c r="AL79" s="57"/>
      <c r="AM79" s="57"/>
      <c r="AN79" s="57"/>
      <c r="AO79" s="57"/>
      <c r="AP79" s="57"/>
      <c r="AQ79" s="48">
        <f t="shared" si="55"/>
        <v>18857.674335937496</v>
      </c>
      <c r="AR79" s="57"/>
      <c r="AS79" s="57"/>
      <c r="AT79" s="145">
        <f t="shared" si="56"/>
        <v>18857.674335937496</v>
      </c>
      <c r="AU79" s="146">
        <f t="shared" si="57"/>
        <v>94693.480234374991</v>
      </c>
      <c r="AV79">
        <f t="shared" si="58"/>
        <v>28735.503749999996</v>
      </c>
      <c r="AW79" s="49">
        <f t="shared" si="59"/>
        <v>143677.51874999999</v>
      </c>
      <c r="AX79">
        <f t="shared" si="60"/>
        <v>18857.674335937496</v>
      </c>
    </row>
    <row r="80" spans="1:50" x14ac:dyDescent="0.2">
      <c r="A80" s="57"/>
      <c r="B80" s="6"/>
      <c r="C80" s="57"/>
      <c r="D80" s="57"/>
      <c r="E80" s="57"/>
      <c r="F80" s="57"/>
      <c r="G80" s="57"/>
      <c r="H80" s="57"/>
      <c r="I80" s="215">
        <f>SUM(I73:I78)</f>
        <v>479411.72999999992</v>
      </c>
      <c r="J80" s="215">
        <f t="shared" ref="J80:Z80" si="63">SUM(J73:J79)</f>
        <v>834059.61</v>
      </c>
      <c r="K80" s="215">
        <f t="shared" si="63"/>
        <v>0</v>
      </c>
      <c r="L80" s="215">
        <f t="shared" si="63"/>
        <v>0</v>
      </c>
      <c r="M80" s="215">
        <f t="shared" si="63"/>
        <v>12</v>
      </c>
      <c r="N80" s="215">
        <f t="shared" si="63"/>
        <v>40</v>
      </c>
      <c r="O80" s="215">
        <f t="shared" si="63"/>
        <v>15</v>
      </c>
      <c r="P80" s="215">
        <f t="shared" si="63"/>
        <v>90486.973125000004</v>
      </c>
      <c r="Q80" s="215">
        <f t="shared" si="63"/>
        <v>303099.83718749997</v>
      </c>
      <c r="R80" s="215">
        <f t="shared" si="63"/>
        <v>115887.69843749999</v>
      </c>
      <c r="S80" s="215">
        <f t="shared" si="63"/>
        <v>127368.62718749999</v>
      </c>
      <c r="T80" s="215">
        <f t="shared" si="63"/>
        <v>63684.313593750005</v>
      </c>
      <c r="U80" s="215">
        <f t="shared" si="63"/>
        <v>0</v>
      </c>
      <c r="V80" s="215">
        <f t="shared" si="63"/>
        <v>5</v>
      </c>
      <c r="W80" s="215">
        <f t="shared" si="63"/>
        <v>0</v>
      </c>
      <c r="X80" s="215">
        <f t="shared" si="63"/>
        <v>1382</v>
      </c>
      <c r="Y80" s="215">
        <f t="shared" si="63"/>
        <v>0</v>
      </c>
      <c r="Z80" s="215">
        <f t="shared" si="63"/>
        <v>0</v>
      </c>
      <c r="AA80" s="215"/>
      <c r="AB80" s="215">
        <f t="shared" ref="AB80:AX80" si="64">SUM(AB73:AB79)</f>
        <v>0</v>
      </c>
      <c r="AC80" s="215">
        <f t="shared" si="64"/>
        <v>0</v>
      </c>
      <c r="AD80" s="215">
        <f t="shared" si="64"/>
        <v>0</v>
      </c>
      <c r="AE80" s="215">
        <f t="shared" si="64"/>
        <v>0</v>
      </c>
      <c r="AF80" s="215">
        <f t="shared" si="64"/>
        <v>0</v>
      </c>
      <c r="AG80" s="215">
        <f t="shared" si="64"/>
        <v>0</v>
      </c>
      <c r="AH80" s="215">
        <f t="shared" si="64"/>
        <v>0</v>
      </c>
      <c r="AI80" s="215">
        <f t="shared" si="64"/>
        <v>10618</v>
      </c>
      <c r="AJ80" s="215">
        <f t="shared" si="64"/>
        <v>7078</v>
      </c>
      <c r="AK80" s="215">
        <f t="shared" si="64"/>
        <v>0</v>
      </c>
      <c r="AL80" s="215">
        <f t="shared" si="64"/>
        <v>0</v>
      </c>
      <c r="AM80" s="215">
        <f t="shared" si="64"/>
        <v>0</v>
      </c>
      <c r="AN80" s="215">
        <f t="shared" si="64"/>
        <v>59512.729746093741</v>
      </c>
      <c r="AO80" s="215">
        <f t="shared" si="64"/>
        <v>56890.32468749999</v>
      </c>
      <c r="AP80" s="215">
        <f t="shared" si="64"/>
        <v>53091</v>
      </c>
      <c r="AQ80" s="215">
        <f t="shared" si="64"/>
        <v>191052.94078125001</v>
      </c>
      <c r="AR80" s="215">
        <f t="shared" si="64"/>
        <v>0</v>
      </c>
      <c r="AS80" s="215">
        <f t="shared" si="64"/>
        <v>0</v>
      </c>
      <c r="AT80" s="215">
        <f t="shared" si="64"/>
        <v>307455.99521484372</v>
      </c>
      <c r="AU80" s="215">
        <f t="shared" si="64"/>
        <v>1080152.4447460938</v>
      </c>
      <c r="AV80" s="215">
        <f t="shared" si="64"/>
        <v>208514.9025</v>
      </c>
      <c r="AW80" s="215">
        <f t="shared" si="64"/>
        <v>1042574.5125</v>
      </c>
      <c r="AX80" s="215">
        <f t="shared" si="64"/>
        <v>191052.94078125001</v>
      </c>
    </row>
    <row r="81" spans="2:47" x14ac:dyDescent="0.2">
      <c r="B81" s="9"/>
    </row>
    <row r="82" spans="2:47" x14ac:dyDescent="0.2">
      <c r="B82" s="9"/>
      <c r="M82" s="131"/>
      <c r="O82" s="141"/>
      <c r="AU82" s="130">
        <f>L80+P80+Q80+R80+S80+T80+X80+Y80+Z80+AH80+AI80+AJ80+AM80+AN80+AO80+AP80+AQ80+AR80</f>
        <v>1080152.4447460938</v>
      </c>
    </row>
    <row r="83" spans="2:47" x14ac:dyDescent="0.2">
      <c r="B83" s="9" t="s">
        <v>90</v>
      </c>
      <c r="M83" s="131"/>
      <c r="N83" s="9" t="s">
        <v>86</v>
      </c>
    </row>
    <row r="84" spans="2:47" x14ac:dyDescent="0.2">
      <c r="B84" s="61" t="s">
        <v>159</v>
      </c>
      <c r="M84" s="131"/>
      <c r="N84" s="9" t="s">
        <v>89</v>
      </c>
    </row>
    <row r="85" spans="2:47" x14ac:dyDescent="0.2">
      <c r="M85" s="131"/>
      <c r="O85" s="141"/>
    </row>
  </sheetData>
  <mergeCells count="118">
    <mergeCell ref="AU67:AU72"/>
    <mergeCell ref="K68:K72"/>
    <mergeCell ref="L68:L72"/>
    <mergeCell ref="M68:M72"/>
    <mergeCell ref="N68:N72"/>
    <mergeCell ref="O68:O72"/>
    <mergeCell ref="P68:P72"/>
    <mergeCell ref="Q68:Q72"/>
    <mergeCell ref="R68:R72"/>
    <mergeCell ref="U68:W69"/>
    <mergeCell ref="X68:Z69"/>
    <mergeCell ref="AB68:AD69"/>
    <mergeCell ref="AE68:AG69"/>
    <mergeCell ref="AH68:AI69"/>
    <mergeCell ref="AL68:AL72"/>
    <mergeCell ref="AM68:AM72"/>
    <mergeCell ref="AL67:AO67"/>
    <mergeCell ref="AP67:AP72"/>
    <mergeCell ref="AQ67:AQ72"/>
    <mergeCell ref="AR67:AS67"/>
    <mergeCell ref="AT67:AT72"/>
    <mergeCell ref="AN68:AN72"/>
    <mergeCell ref="AO68:AO72"/>
    <mergeCell ref="AR68:AR72"/>
    <mergeCell ref="AS68:AS72"/>
    <mergeCell ref="AA67:AA72"/>
    <mergeCell ref="AB67:AG67"/>
    <mergeCell ref="AH67:AI67"/>
    <mergeCell ref="AJ67:AJ72"/>
    <mergeCell ref="AK67:AK72"/>
    <mergeCell ref="AB70:AB72"/>
    <mergeCell ref="AC70:AC72"/>
    <mergeCell ref="AD70:AD72"/>
    <mergeCell ref="AE70:AE72"/>
    <mergeCell ref="AF70:AF72"/>
    <mergeCell ref="AG70:AG72"/>
    <mergeCell ref="AH71:AH72"/>
    <mergeCell ref="AI71:AI72"/>
    <mergeCell ref="M67:O67"/>
    <mergeCell ref="P67:R67"/>
    <mergeCell ref="S67:S72"/>
    <mergeCell ref="T67:T72"/>
    <mergeCell ref="U67:Z67"/>
    <mergeCell ref="U70:U72"/>
    <mergeCell ref="V70:V72"/>
    <mergeCell ref="W70:W72"/>
    <mergeCell ref="X70:X72"/>
    <mergeCell ref="Y70:Y72"/>
    <mergeCell ref="Z70:Z72"/>
    <mergeCell ref="F67:F72"/>
    <mergeCell ref="G67:G72"/>
    <mergeCell ref="H67:H72"/>
    <mergeCell ref="I67:I72"/>
    <mergeCell ref="J67:J72"/>
    <mergeCell ref="A67:A72"/>
    <mergeCell ref="B67:B72"/>
    <mergeCell ref="C67:C72"/>
    <mergeCell ref="D67:D72"/>
    <mergeCell ref="E67:E72"/>
    <mergeCell ref="AF15:AF17"/>
    <mergeCell ref="AG15:AG17"/>
    <mergeCell ref="AP12:AP17"/>
    <mergeCell ref="AL12:AO12"/>
    <mergeCell ref="AL13:AL17"/>
    <mergeCell ref="AM13:AM17"/>
    <mergeCell ref="AN13:AN17"/>
    <mergeCell ref="AO13:AO17"/>
    <mergeCell ref="AB12:AG12"/>
    <mergeCell ref="AB13:AD14"/>
    <mergeCell ref="AE13:AG14"/>
    <mergeCell ref="AB15:AB17"/>
    <mergeCell ref="AC15:AC17"/>
    <mergeCell ref="AD15:AD17"/>
    <mergeCell ref="AQ12:AQ17"/>
    <mergeCell ref="AR12:AS12"/>
    <mergeCell ref="AT12:AT17"/>
    <mergeCell ref="AU12:AU17"/>
    <mergeCell ref="AR13:AR17"/>
    <mergeCell ref="AS13:AS17"/>
    <mergeCell ref="T12:T17"/>
    <mergeCell ref="U12:Z12"/>
    <mergeCell ref="AH12:AI12"/>
    <mergeCell ref="AJ12:AJ17"/>
    <mergeCell ref="AK12:AK17"/>
    <mergeCell ref="U13:W14"/>
    <mergeCell ref="X13:Z14"/>
    <mergeCell ref="AH13:AI14"/>
    <mergeCell ref="U15:U17"/>
    <mergeCell ref="V15:V17"/>
    <mergeCell ref="W15:W17"/>
    <mergeCell ref="X15:X17"/>
    <mergeCell ref="Y15:Y17"/>
    <mergeCell ref="Z15:Z17"/>
    <mergeCell ref="AH16:AH17"/>
    <mergeCell ref="AI16:AI17"/>
    <mergeCell ref="AA12:AA17"/>
    <mergeCell ref="AE15:AE17"/>
    <mergeCell ref="M12:O12"/>
    <mergeCell ref="P12:R12"/>
    <mergeCell ref="J12:J17"/>
    <mergeCell ref="S12:S17"/>
    <mergeCell ref="K13:K17"/>
    <mergeCell ref="L13:L17"/>
    <mergeCell ref="M13:M17"/>
    <mergeCell ref="N13:N17"/>
    <mergeCell ref="O13:O17"/>
    <mergeCell ref="P13:P17"/>
    <mergeCell ref="Q13:Q17"/>
    <mergeCell ref="R13:R17"/>
    <mergeCell ref="F12:F17"/>
    <mergeCell ref="A12:A17"/>
    <mergeCell ref="B12:B17"/>
    <mergeCell ref="C12:C17"/>
    <mergeCell ref="D12:D17"/>
    <mergeCell ref="E12:E17"/>
    <mergeCell ref="G12:G17"/>
    <mergeCell ref="H12:H17"/>
    <mergeCell ref="I12:I17"/>
  </mergeCells>
  <pageMargins left="0.19685039370078741" right="0.19685039370078741" top="0.19685039370078741" bottom="0.19685039370078741" header="0.31496062992125984" footer="0.31496062992125984"/>
  <pageSetup paperSize="9" scale="69" orientation="landscape" r:id="rId1"/>
  <rowBreaks count="1" manualBreakCount="1">
    <brk id="54" max="52" man="1"/>
  </rowBreaks>
  <colBreaks count="1" manualBreakCount="1">
    <brk id="4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4</vt:i4>
      </vt:variant>
    </vt:vector>
  </HeadingPairs>
  <TitlesOfParts>
    <vt:vector size="9" baseType="lpstr">
      <vt:lpstr>Тсш дежурн</vt:lpstr>
      <vt:lpstr>сводная дежурн</vt:lpstr>
      <vt:lpstr>ЛСШ 1 дежурн</vt:lpstr>
      <vt:lpstr>бестерек  дежурный</vt:lpstr>
      <vt:lpstr>Алкатерек</vt:lpstr>
      <vt:lpstr>Алкатерек!Область_печати</vt:lpstr>
      <vt:lpstr>'бестерек  дежурный'!Область_печати</vt:lpstr>
      <vt:lpstr>'сводная дежурн'!Область_печати</vt:lpstr>
      <vt:lpstr>'Тсш дежурн'!Область_печати</vt:lpstr>
    </vt:vector>
  </TitlesOfParts>
  <Company>XXX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Николай</dc:creator>
  <cp:lastModifiedBy>tamen</cp:lastModifiedBy>
  <cp:lastPrinted>2021-09-24T05:05:14Z</cp:lastPrinted>
  <dcterms:created xsi:type="dcterms:W3CDTF">2002-08-20T08:23:30Z</dcterms:created>
  <dcterms:modified xsi:type="dcterms:W3CDTF">2021-09-29T06:34:37Z</dcterms:modified>
</cp:coreProperties>
</file>